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tou\Dropbox\Aeroclub-TMP\École\Avions\Centrage\"/>
    </mc:Choice>
  </mc:AlternateContent>
  <bookViews>
    <workbookView xWindow="0" yWindow="0" windowWidth="28800" windowHeight="12336" tabRatio="739" activeTab="4"/>
  </bookViews>
  <sheets>
    <sheet name="F-HAAB" sheetId="8" r:id="rId1"/>
    <sheet name="F-GVFP" sheetId="9" r:id="rId2"/>
    <sheet name="F-GZPL" sheetId="10" r:id="rId3"/>
    <sheet name="F-GZAL" sheetId="7" r:id="rId4"/>
    <sheet name="F-GLDO" sheetId="20" r:id="rId5"/>
    <sheet name="F-GXPP" sheetId="5" r:id="rId6"/>
    <sheet name="F-HJAY" sheetId="14" r:id="rId7"/>
    <sheet name="F-HEBC" sheetId="15" r:id="rId8"/>
    <sheet name="F-HCGA" sheetId="11" r:id="rId9"/>
    <sheet name="F-HFIA" sheetId="13" r:id="rId10"/>
    <sheet name="31-YS" sheetId="16" r:id="rId11"/>
    <sheet name="31-AAE" sheetId="17" r:id="rId12"/>
  </sheets>
  <definedNames>
    <definedName name="_xlnm.Print_Area" localSheetId="4">'F-GLDO'!$A$1:$I$51</definedName>
    <definedName name="_xlnm.Print_Area" localSheetId="3">'F-GZAL'!$A$1:$I$51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0" l="1"/>
  <c r="H29" i="20"/>
  <c r="D29" i="20"/>
  <c r="D32" i="20" s="1"/>
  <c r="H32" i="20" s="1"/>
  <c r="D28" i="20"/>
  <c r="D30" i="20" s="1"/>
  <c r="D33" i="20" s="1"/>
  <c r="H27" i="20"/>
  <c r="H26" i="20"/>
  <c r="H25" i="20"/>
  <c r="H28" i="20" s="1"/>
  <c r="H30" i="20" s="1"/>
  <c r="F24" i="20"/>
  <c r="F18" i="20"/>
  <c r="F17" i="20"/>
  <c r="H16" i="20"/>
  <c r="H15" i="20"/>
  <c r="H14" i="20"/>
  <c r="H13" i="20"/>
  <c r="H12" i="20"/>
  <c r="H17" i="20" s="1"/>
  <c r="H33" i="20" l="1"/>
  <c r="F33" i="20" s="1"/>
  <c r="F30" i="20"/>
  <c r="H31" i="5"/>
  <c r="H25" i="17" l="1"/>
  <c r="H27" i="17" s="1"/>
  <c r="F24" i="17"/>
  <c r="D30" i="17"/>
  <c r="H28" i="17"/>
  <c r="D28" i="17"/>
  <c r="D31" i="17" s="1"/>
  <c r="H31" i="17" s="1"/>
  <c r="D27" i="17"/>
  <c r="D29" i="17" s="1"/>
  <c r="D32" i="17" s="1"/>
  <c r="H26" i="17"/>
  <c r="F18" i="17"/>
  <c r="F17" i="17"/>
  <c r="H16" i="17"/>
  <c r="H15" i="17"/>
  <c r="H14" i="17"/>
  <c r="H13" i="17"/>
  <c r="H12" i="17"/>
  <c r="H17" i="17" s="1"/>
  <c r="D30" i="16"/>
  <c r="D28" i="16"/>
  <c r="H28" i="16" s="1"/>
  <c r="D27" i="16"/>
  <c r="H26" i="16"/>
  <c r="H25" i="16"/>
  <c r="F24" i="16"/>
  <c r="F18" i="16"/>
  <c r="F17" i="16"/>
  <c r="H16" i="16"/>
  <c r="H15" i="16"/>
  <c r="H14" i="16"/>
  <c r="H13" i="16"/>
  <c r="H12" i="16"/>
  <c r="D31" i="15"/>
  <c r="D32" i="15" s="1"/>
  <c r="H32" i="15" s="1"/>
  <c r="D30" i="15"/>
  <c r="D33" i="15" s="1"/>
  <c r="D29" i="15"/>
  <c r="H29" i="15" s="1"/>
  <c r="D28" i="15"/>
  <c r="H27" i="15"/>
  <c r="H26" i="15"/>
  <c r="H25" i="15"/>
  <c r="H28" i="15" s="1"/>
  <c r="H30" i="15" s="1"/>
  <c r="F24" i="15"/>
  <c r="F18" i="15"/>
  <c r="F17" i="15"/>
  <c r="H16" i="15"/>
  <c r="H15" i="15"/>
  <c r="H14" i="15"/>
  <c r="H13" i="15"/>
  <c r="H12" i="15"/>
  <c r="H29" i="17" l="1"/>
  <c r="F29" i="17" s="1"/>
  <c r="D29" i="16"/>
  <c r="D32" i="16" s="1"/>
  <c r="H27" i="16"/>
  <c r="H29" i="16" s="1"/>
  <c r="H17" i="16"/>
  <c r="D31" i="16"/>
  <c r="H31" i="16" s="1"/>
  <c r="H17" i="15"/>
  <c r="H33" i="15"/>
  <c r="F33" i="15" s="1"/>
  <c r="F30" i="15"/>
  <c r="F24" i="11"/>
  <c r="F24" i="7"/>
  <c r="F24" i="14"/>
  <c r="D31" i="14"/>
  <c r="D29" i="14"/>
  <c r="H29" i="14" s="1"/>
  <c r="D28" i="14"/>
  <c r="H27" i="14"/>
  <c r="H26" i="14"/>
  <c r="H25" i="14"/>
  <c r="F18" i="14"/>
  <c r="F17" i="14"/>
  <c r="H16" i="14"/>
  <c r="H15" i="14"/>
  <c r="H14" i="14"/>
  <c r="H13" i="14"/>
  <c r="H12" i="14"/>
  <c r="H28" i="14" l="1"/>
  <c r="H30" i="14" s="1"/>
  <c r="H32" i="17"/>
  <c r="F32" i="17" s="1"/>
  <c r="H32" i="16"/>
  <c r="F32" i="16" s="1"/>
  <c r="F29" i="16"/>
  <c r="D30" i="14"/>
  <c r="D33" i="14" s="1"/>
  <c r="D32" i="14"/>
  <c r="H32" i="14" s="1"/>
  <c r="H17" i="14"/>
  <c r="H15" i="13"/>
  <c r="H33" i="14" l="1"/>
  <c r="F33" i="14" s="1"/>
  <c r="F30" i="14"/>
  <c r="D28" i="8"/>
  <c r="D30" i="8"/>
  <c r="D28" i="9"/>
  <c r="D30" i="9"/>
  <c r="D28" i="10"/>
  <c r="D30" i="10"/>
  <c r="D33" i="5"/>
  <c r="H33" i="5" s="1"/>
  <c r="D32" i="5"/>
  <c r="D31" i="7"/>
  <c r="D29" i="7"/>
  <c r="D30" i="5"/>
  <c r="D29" i="5"/>
  <c r="D31" i="13"/>
  <c r="D29" i="13"/>
  <c r="H29" i="13" s="1"/>
  <c r="D28" i="13"/>
  <c r="D30" i="13" s="1"/>
  <c r="D33" i="13" s="1"/>
  <c r="H27" i="13"/>
  <c r="H26" i="13"/>
  <c r="H25" i="13"/>
  <c r="F24" i="13"/>
  <c r="F18" i="13"/>
  <c r="F17" i="13"/>
  <c r="H16" i="13"/>
  <c r="H14" i="13"/>
  <c r="H13" i="13"/>
  <c r="H12" i="13"/>
  <c r="H17" i="13" s="1"/>
  <c r="D29" i="11"/>
  <c r="C34" i="5"/>
  <c r="H28" i="13" l="1"/>
  <c r="H30" i="13" s="1"/>
  <c r="F30" i="13" s="1"/>
  <c r="D32" i="13"/>
  <c r="H32" i="13" s="1"/>
  <c r="D34" i="5"/>
  <c r="H33" i="13"/>
  <c r="F33" i="13" s="1"/>
  <c r="H32" i="5"/>
  <c r="D31" i="11" l="1"/>
  <c r="H27" i="11"/>
  <c r="H26" i="11"/>
  <c r="H25" i="11"/>
  <c r="D28" i="11"/>
  <c r="F18" i="11"/>
  <c r="F17" i="11"/>
  <c r="H16" i="11"/>
  <c r="H15" i="11"/>
  <c r="H14" i="11"/>
  <c r="H13" i="11"/>
  <c r="H12" i="11"/>
  <c r="H26" i="10"/>
  <c r="D27" i="10"/>
  <c r="F24" i="10"/>
  <c r="F18" i="10"/>
  <c r="F17" i="10"/>
  <c r="H16" i="10"/>
  <c r="H15" i="10"/>
  <c r="H14" i="10"/>
  <c r="H13" i="10"/>
  <c r="H12" i="10"/>
  <c r="H26" i="9"/>
  <c r="H25" i="9"/>
  <c r="H27" i="9" s="1"/>
  <c r="D27" i="9"/>
  <c r="F24" i="9"/>
  <c r="F18" i="9"/>
  <c r="F17" i="9"/>
  <c r="H16" i="9"/>
  <c r="H15" i="9"/>
  <c r="H14" i="9"/>
  <c r="H13" i="9"/>
  <c r="H12" i="9"/>
  <c r="D32" i="11" l="1"/>
  <c r="H32" i="11" s="1"/>
  <c r="H28" i="11"/>
  <c r="D31" i="10"/>
  <c r="H31" i="10" s="1"/>
  <c r="H28" i="10"/>
  <c r="H17" i="10"/>
  <c r="D31" i="9"/>
  <c r="H31" i="9" s="1"/>
  <c r="H17" i="9"/>
  <c r="H29" i="11"/>
  <c r="H17" i="11"/>
  <c r="D30" i="11"/>
  <c r="D33" i="11" s="1"/>
  <c r="D29" i="10"/>
  <c r="D32" i="10" s="1"/>
  <c r="H25" i="10"/>
  <c r="H27" i="10" s="1"/>
  <c r="D29" i="9"/>
  <c r="D32" i="9"/>
  <c r="H28" i="9"/>
  <c r="H29" i="9" s="1"/>
  <c r="H32" i="9" s="1"/>
  <c r="H28" i="8"/>
  <c r="H26" i="8"/>
  <c r="H25" i="8"/>
  <c r="H27" i="8" s="1"/>
  <c r="F24" i="8"/>
  <c r="F18" i="8"/>
  <c r="F17" i="8"/>
  <c r="H16" i="8"/>
  <c r="H15" i="8"/>
  <c r="H14" i="8"/>
  <c r="H13" i="8"/>
  <c r="H12" i="8"/>
  <c r="H30" i="11" l="1"/>
  <c r="H33" i="11" s="1"/>
  <c r="F33" i="11" s="1"/>
  <c r="H29" i="8"/>
  <c r="H17" i="8"/>
  <c r="H29" i="10"/>
  <c r="F29" i="10" s="1"/>
  <c r="F29" i="9"/>
  <c r="F32" i="9"/>
  <c r="D31" i="8"/>
  <c r="H31" i="8" s="1"/>
  <c r="D27" i="8"/>
  <c r="H32" i="10" l="1"/>
  <c r="F32" i="10" s="1"/>
  <c r="F30" i="11"/>
  <c r="H32" i="8"/>
  <c r="D29" i="8"/>
  <c r="D32" i="8" s="1"/>
  <c r="F32" i="8" l="1"/>
  <c r="H29" i="7"/>
  <c r="H27" i="7"/>
  <c r="H26" i="7"/>
  <c r="H25" i="7"/>
  <c r="F18" i="7"/>
  <c r="F17" i="7"/>
  <c r="H16" i="7"/>
  <c r="H15" i="7"/>
  <c r="H14" i="7"/>
  <c r="H13" i="7"/>
  <c r="H12" i="7"/>
  <c r="H28" i="7" l="1"/>
  <c r="H30" i="7" s="1"/>
  <c r="H33" i="7" s="1"/>
  <c r="D32" i="7"/>
  <c r="H32" i="7" s="1"/>
  <c r="H17" i="7"/>
  <c r="D28" i="7"/>
  <c r="D30" i="7" l="1"/>
  <c r="F30" i="7" s="1"/>
  <c r="D33" i="7" l="1"/>
  <c r="F33" i="7" s="1"/>
  <c r="F18" i="5"/>
  <c r="H16" i="5"/>
  <c r="H15" i="5"/>
  <c r="H14" i="5"/>
  <c r="H13" i="5"/>
  <c r="H12" i="5"/>
  <c r="H30" i="5" l="1"/>
  <c r="H17" i="5" l="1"/>
  <c r="D28" i="5"/>
  <c r="H27" i="5"/>
  <c r="H26" i="5"/>
  <c r="H25" i="5"/>
  <c r="H24" i="5"/>
  <c r="F17" i="5"/>
  <c r="D31" i="5" l="1"/>
  <c r="D35" i="5" s="1"/>
  <c r="H28" i="5"/>
  <c r="H29" i="5"/>
  <c r="F29" i="8" l="1"/>
  <c r="F31" i="5"/>
  <c r="H35" i="5"/>
  <c r="F35" i="5" s="1"/>
</calcChain>
</file>

<file path=xl/comments1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10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Gallons US
</t>
        </r>
        <r>
          <rPr>
            <sz val="9"/>
            <color indexed="81"/>
            <rFont val="Tahoma"/>
            <family val="2"/>
          </rPr>
          <t>56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11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12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2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3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4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5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6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159 max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7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8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9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Gallons US
</t>
        </r>
        <r>
          <rPr>
            <sz val="9"/>
            <color indexed="81"/>
            <rFont val="Tahoma"/>
            <family val="2"/>
          </rPr>
          <t>56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sharedStrings.xml><?xml version="1.0" encoding="utf-8"?>
<sst xmlns="http://schemas.openxmlformats.org/spreadsheetml/2006/main" count="476" uniqueCount="71">
  <si>
    <t>Date du vol :</t>
  </si>
  <si>
    <t>Bilan carburant</t>
  </si>
  <si>
    <t>Masse &amp; Centrage</t>
  </si>
  <si>
    <t>Masse à vide</t>
  </si>
  <si>
    <t>Passagers avant</t>
  </si>
  <si>
    <t>Passagers arrière</t>
  </si>
  <si>
    <t>Masse</t>
  </si>
  <si>
    <t>Bras de levier</t>
  </si>
  <si>
    <t>Moment</t>
  </si>
  <si>
    <t>en m</t>
  </si>
  <si>
    <t>en kg</t>
  </si>
  <si>
    <t>Bagages</t>
  </si>
  <si>
    <t>TOTAL</t>
  </si>
  <si>
    <t>SOUS TOTAL</t>
  </si>
  <si>
    <t>TOTAL Arrivée</t>
  </si>
  <si>
    <t>bras</t>
  </si>
  <si>
    <t>masse</t>
  </si>
  <si>
    <t>Phase</t>
  </si>
  <si>
    <t>Roulage</t>
  </si>
  <si>
    <t>Réserve finale</t>
  </si>
  <si>
    <t>Solution alternative</t>
  </si>
  <si>
    <r>
      <t xml:space="preserve">Vol :            </t>
    </r>
    <r>
      <rPr>
        <sz val="11"/>
        <color theme="1"/>
        <rFont val="Times New Roman"/>
        <family val="1"/>
      </rPr>
      <t>→</t>
    </r>
  </si>
  <si>
    <t>Croisière en tenant compte du vent</t>
  </si>
  <si>
    <t>Marges</t>
  </si>
  <si>
    <t>Procédures (10 min/procédure)</t>
  </si>
  <si>
    <t>Total minimum à embarquer</t>
  </si>
  <si>
    <t>QUANTITE EMBARQUÉE</t>
  </si>
  <si>
    <t>Quantité (Litres)</t>
  </si>
  <si>
    <t>Durée (minutes)</t>
  </si>
  <si>
    <t>F-GXPP DR400/140B</t>
  </si>
  <si>
    <t>Délestage (en L)</t>
  </si>
  <si>
    <t>Commandant de bord :</t>
  </si>
  <si>
    <t>L/h</t>
  </si>
  <si>
    <t>Conso. horaire :</t>
  </si>
  <si>
    <t>F-GZAL DR400/120</t>
  </si>
  <si>
    <t xml:space="preserve">F-HAAB Aquila AT01 </t>
  </si>
  <si>
    <t xml:space="preserve">F-GVFP Aquila AT01 </t>
  </si>
  <si>
    <t xml:space="preserve">F-GZPL Aquila AT01 </t>
  </si>
  <si>
    <t>F-HCGA Cirrus SR20</t>
  </si>
  <si>
    <t>Carburant</t>
  </si>
  <si>
    <t>Réservoir prin.</t>
  </si>
  <si>
    <t>Réservoir sup.</t>
  </si>
  <si>
    <t>Carburant arrivée</t>
  </si>
  <si>
    <t>Délestage princ.</t>
  </si>
  <si>
    <t>Délestage sup.</t>
  </si>
  <si>
    <t>USG</t>
  </si>
  <si>
    <t>Quantité (USG)</t>
  </si>
  <si>
    <t>en kg.m</t>
  </si>
  <si>
    <t>Densité</t>
  </si>
  <si>
    <t>(0,72 si Avgas et 0,75 si UL91)</t>
  </si>
  <si>
    <t>Date pesée : 10/04/2018</t>
  </si>
  <si>
    <t>Date pesée : 05/02/2019</t>
  </si>
  <si>
    <t>Date pesée : 22/05/2019</t>
  </si>
  <si>
    <t>Date pesée : 11/07/2018</t>
  </si>
  <si>
    <t>F-HJAY DR401/120</t>
  </si>
  <si>
    <t>Date pesée : 29/11/2019</t>
  </si>
  <si>
    <t>Catégorie N</t>
  </si>
  <si>
    <t>Catégorie U</t>
  </si>
  <si>
    <t>F-HEBC DR401/120</t>
  </si>
  <si>
    <t>Date pesée : 24/06/2020</t>
  </si>
  <si>
    <t>F-HFIA Cirrus SR20</t>
  </si>
  <si>
    <t>Date pesée : 05/05/2017</t>
  </si>
  <si>
    <t>31-YS Ikarus C42c</t>
  </si>
  <si>
    <t>Date pesée : 10/02/2015</t>
  </si>
  <si>
    <t>en cm</t>
  </si>
  <si>
    <t>en kg.cm</t>
  </si>
  <si>
    <t>31-AAE Ikarus C42c</t>
  </si>
  <si>
    <t>en mm</t>
  </si>
  <si>
    <t>Date pesée : 11/10/2021</t>
  </si>
  <si>
    <t>F-GLDO DR400/120</t>
  </si>
  <si>
    <t>Date pesée : 29/07/2020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</si>
</sst>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B612"/>
      <family val="2"/>
    </font>
    <font>
      <b/>
      <sz val="11"/>
      <color theme="1"/>
      <name val="B612"/>
      <family val="2"/>
    </font>
    <font>
      <sz val="9"/>
      <color theme="1"/>
      <name val="B612"/>
      <family val="2"/>
    </font>
    <font>
      <b/>
      <sz val="11"/>
      <name val="B612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0"/>
      <name val="B612"/>
      <family val="2"/>
    </font>
    <font>
      <b/>
      <sz val="18"/>
      <color theme="0"/>
      <name val="B612"/>
      <family val="2"/>
    </font>
    <font>
      <sz val="11"/>
      <color theme="0"/>
      <name val="B612"/>
      <family val="2"/>
    </font>
    <font>
      <i/>
      <sz val="10"/>
      <color theme="0"/>
      <name val="B612"/>
      <family val="2"/>
    </font>
    <font>
      <sz val="11"/>
      <name val="B612"/>
      <family val="2"/>
    </font>
    <font>
      <i/>
      <sz val="11"/>
      <color theme="1"/>
      <name val="B612"/>
      <family val="2"/>
    </font>
    <font>
      <b/>
      <i/>
      <sz val="11"/>
      <color theme="1"/>
      <name val="B612"/>
      <family val="2"/>
    </font>
    <font>
      <sz val="11"/>
      <color theme="0"/>
      <name val="Calibri"/>
      <family val="2"/>
      <scheme val="minor"/>
    </font>
    <font>
      <i/>
      <sz val="11"/>
      <color theme="1"/>
      <name val="B612"/>
    </font>
    <font>
      <b/>
      <sz val="11"/>
      <color theme="1"/>
      <name val="B612"/>
    </font>
    <font>
      <b/>
      <i/>
      <sz val="11"/>
      <color theme="1"/>
      <name val="B61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gray125">
        <bgColor theme="7" tint="0.79995117038483843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/>
    <xf numFmtId="0" fontId="0" fillId="0" borderId="0" xfId="0"/>
    <xf numFmtId="0" fontId="10" fillId="0" borderId="0" xfId="0" applyFont="1" applyFill="1" applyBorder="1"/>
    <xf numFmtId="0" fontId="10" fillId="0" borderId="0" xfId="0" quotePrefix="1" applyFont="1" applyFill="1" applyBorder="1"/>
    <xf numFmtId="0" fontId="10" fillId="0" borderId="0" xfId="0" applyFont="1"/>
    <xf numFmtId="0" fontId="16" fillId="3" borderId="28" xfId="0" applyFont="1" applyFill="1" applyBorder="1" applyAlignment="1"/>
    <xf numFmtId="0" fontId="16" fillId="3" borderId="9" xfId="0" applyFont="1" applyFill="1" applyBorder="1" applyAlignment="1"/>
    <xf numFmtId="0" fontId="15" fillId="0" borderId="16" xfId="0" applyFont="1" applyFill="1" applyBorder="1" applyAlignment="1">
      <alignment vertical="center"/>
    </xf>
    <xf numFmtId="0" fontId="18" fillId="0" borderId="0" xfId="0" applyFont="1" applyFill="1" applyBorder="1"/>
    <xf numFmtId="0" fontId="1" fillId="5" borderId="1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16" fillId="3" borderId="45" xfId="0" applyFont="1" applyFill="1" applyBorder="1" applyAlignment="1"/>
    <xf numFmtId="0" fontId="16" fillId="3" borderId="2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5" fillId="6" borderId="16" xfId="0" applyFont="1" applyFill="1" applyBorder="1" applyAlignment="1">
      <alignment vertical="center"/>
    </xf>
    <xf numFmtId="0" fontId="16" fillId="3" borderId="2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1" fontId="16" fillId="3" borderId="11" xfId="0" applyNumberFormat="1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0" fontId="16" fillId="3" borderId="32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1" fontId="17" fillId="3" borderId="19" xfId="0" applyNumberFormat="1" applyFont="1" applyFill="1" applyBorder="1" applyAlignment="1">
      <alignment horizontal="center"/>
    </xf>
    <xf numFmtId="1" fontId="17" fillId="3" borderId="22" xfId="0" applyNumberFormat="1" applyFont="1" applyFill="1" applyBorder="1" applyAlignment="1">
      <alignment horizontal="center"/>
    </xf>
    <xf numFmtId="2" fontId="16" fillId="3" borderId="34" xfId="0" applyNumberFormat="1" applyFont="1" applyFill="1" applyBorder="1" applyAlignment="1">
      <alignment horizontal="center"/>
    </xf>
    <xf numFmtId="2" fontId="16" fillId="3" borderId="35" xfId="0" applyNumberFormat="1" applyFont="1" applyFill="1" applyBorder="1" applyAlignment="1">
      <alignment horizontal="center"/>
    </xf>
    <xf numFmtId="0" fontId="21" fillId="7" borderId="19" xfId="0" applyFont="1" applyFill="1" applyBorder="1" applyAlignment="1">
      <alignment horizontal="center"/>
    </xf>
    <xf numFmtId="0" fontId="21" fillId="7" borderId="4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0" fillId="7" borderId="47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1" fontId="16" fillId="3" borderId="6" xfId="0" applyNumberFormat="1" applyFont="1" applyFill="1" applyBorder="1" applyAlignment="1">
      <alignment horizontal="center"/>
    </xf>
    <xf numFmtId="1" fontId="16" fillId="3" borderId="7" xfId="0" applyNumberFormat="1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1" borderId="8" xfId="0" applyFont="1" applyFill="1" applyBorder="1" applyAlignment="1">
      <alignment horizontal="center"/>
    </xf>
    <xf numFmtId="0" fontId="2" fillId="1" borderId="10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1" fillId="4" borderId="30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0" fillId="1" borderId="42" xfId="0" applyFill="1" applyBorder="1"/>
    <xf numFmtId="0" fontId="0" fillId="1" borderId="0" xfId="0" applyFill="1" applyBorder="1"/>
    <xf numFmtId="0" fontId="13" fillId="2" borderId="15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5" fillId="1" borderId="8" xfId="0" applyFont="1" applyFill="1" applyBorder="1" applyAlignment="1">
      <alignment horizontal="center"/>
    </xf>
    <xf numFmtId="0" fontId="15" fillId="1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0" fontId="1" fillId="0" borderId="3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0" borderId="14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horizontal="center" vertical="top"/>
    </xf>
    <xf numFmtId="0" fontId="15" fillId="0" borderId="30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right" vertic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6" fillId="7" borderId="47" xfId="0" applyFont="1" applyFill="1" applyBorder="1" applyAlignment="1">
      <alignment horizontal="center"/>
    </xf>
    <xf numFmtId="1" fontId="16" fillId="3" borderId="9" xfId="0" applyNumberFormat="1" applyFont="1" applyFill="1" applyBorder="1" applyAlignment="1">
      <alignment horizontal="center"/>
    </xf>
    <xf numFmtId="1" fontId="16" fillId="3" borderId="10" xfId="0" applyNumberFormat="1" applyFont="1" applyFill="1" applyBorder="1" applyAlignment="1">
      <alignment horizontal="center"/>
    </xf>
    <xf numFmtId="0" fontId="16" fillId="3" borderId="2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" fontId="17" fillId="3" borderId="47" xfId="0" applyNumberFormat="1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1" fontId="17" fillId="3" borderId="12" xfId="0" applyNumberFormat="1" applyFont="1" applyFill="1" applyBorder="1" applyAlignment="1">
      <alignment horizontal="center"/>
    </xf>
    <xf numFmtId="2" fontId="17" fillId="3" borderId="19" xfId="0" applyNumberFormat="1" applyFont="1" applyFill="1" applyBorder="1" applyAlignment="1">
      <alignment horizontal="center"/>
    </xf>
    <xf numFmtId="2" fontId="17" fillId="3" borderId="12" xfId="0" applyNumberFormat="1" applyFont="1" applyFill="1" applyBorder="1" applyAlignment="1">
      <alignment horizontal="center"/>
    </xf>
    <xf numFmtId="0" fontId="16" fillId="7" borderId="38" xfId="0" applyFont="1" applyFill="1" applyBorder="1" applyAlignment="1">
      <alignment horizontal="center"/>
    </xf>
    <xf numFmtId="0" fontId="16" fillId="7" borderId="39" xfId="0" applyFont="1" applyFill="1" applyBorder="1" applyAlignment="1">
      <alignment horizontal="center"/>
    </xf>
    <xf numFmtId="2" fontId="19" fillId="7" borderId="28" xfId="0" applyNumberFormat="1" applyFont="1" applyFill="1" applyBorder="1" applyAlignment="1">
      <alignment horizontal="center"/>
    </xf>
    <xf numFmtId="2" fontId="19" fillId="7" borderId="21" xfId="0" applyNumberFormat="1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2" fontId="17" fillId="3" borderId="22" xfId="0" applyNumberFormat="1" applyFont="1" applyFill="1" applyBorder="1" applyAlignment="1">
      <alignment horizontal="center"/>
    </xf>
    <xf numFmtId="2" fontId="19" fillId="3" borderId="34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16" fillId="3" borderId="33" xfId="0" applyNumberFormat="1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0" fontId="16" fillId="3" borderId="48" xfId="0" applyFont="1" applyFill="1" applyBorder="1" applyAlignment="1">
      <alignment horizontal="center"/>
    </xf>
    <xf numFmtId="0" fontId="16" fillId="3" borderId="49" xfId="0" applyFont="1" applyFill="1" applyBorder="1" applyAlignment="1">
      <alignment horizontal="center"/>
    </xf>
    <xf numFmtId="0" fontId="16" fillId="3" borderId="52" xfId="0" applyFont="1" applyFill="1" applyBorder="1" applyAlignment="1">
      <alignment horizontal="center"/>
    </xf>
    <xf numFmtId="0" fontId="16" fillId="3" borderId="46" xfId="0" applyFont="1" applyFill="1" applyBorder="1" applyAlignment="1">
      <alignment horizontal="center"/>
    </xf>
    <xf numFmtId="2" fontId="17" fillId="3" borderId="47" xfId="0" applyNumberFormat="1" applyFont="1" applyFill="1" applyBorder="1" applyAlignment="1">
      <alignment horizontal="center"/>
    </xf>
    <xf numFmtId="1" fontId="19" fillId="3" borderId="9" xfId="0" applyNumberFormat="1" applyFont="1" applyFill="1" applyBorder="1" applyAlignment="1">
      <alignment horizontal="center"/>
    </xf>
    <xf numFmtId="1" fontId="19" fillId="3" borderId="2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2" fontId="21" fillId="7" borderId="19" xfId="0" applyNumberFormat="1" applyFont="1" applyFill="1" applyBorder="1" applyAlignment="1">
      <alignment horizontal="center"/>
    </xf>
    <xf numFmtId="2" fontId="21" fillId="7" borderId="22" xfId="0" applyNumberFormat="1" applyFont="1" applyFill="1" applyBorder="1" applyAlignment="1">
      <alignment horizontal="center"/>
    </xf>
    <xf numFmtId="1" fontId="19" fillId="3" borderId="38" xfId="0" applyNumberFormat="1" applyFont="1" applyFill="1" applyBorder="1" applyAlignment="1">
      <alignment horizontal="center"/>
    </xf>
    <xf numFmtId="1" fontId="19" fillId="3" borderId="39" xfId="0" applyNumberFormat="1" applyFont="1" applyFill="1" applyBorder="1" applyAlignment="1">
      <alignment horizont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2" fontId="19" fillId="3" borderId="44" xfId="0" applyNumberFormat="1" applyFont="1" applyFill="1" applyBorder="1" applyAlignment="1">
      <alignment horizontal="center"/>
    </xf>
    <xf numFmtId="2" fontId="19" fillId="3" borderId="33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165" fontId="17" fillId="3" borderId="19" xfId="0" applyNumberFormat="1" applyFont="1" applyFill="1" applyBorder="1" applyAlignment="1">
      <alignment horizontal="center"/>
    </xf>
    <xf numFmtId="165" fontId="17" fillId="3" borderId="22" xfId="0" applyNumberFormat="1" applyFont="1" applyFill="1" applyBorder="1" applyAlignment="1">
      <alignment horizontal="center"/>
    </xf>
    <xf numFmtId="2" fontId="16" fillId="7" borderId="38" xfId="0" applyNumberFormat="1" applyFont="1" applyFill="1" applyBorder="1" applyAlignment="1">
      <alignment horizontal="center"/>
    </xf>
    <xf numFmtId="2" fontId="16" fillId="7" borderId="39" xfId="0" applyNumberFormat="1" applyFont="1" applyFill="1" applyBorder="1" applyAlignment="1">
      <alignment horizontal="center"/>
    </xf>
    <xf numFmtId="2" fontId="1" fillId="7" borderId="44" xfId="0" applyNumberFormat="1" applyFont="1" applyFill="1" applyBorder="1" applyAlignment="1">
      <alignment horizontal="center"/>
    </xf>
    <xf numFmtId="2" fontId="1" fillId="7" borderId="33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</cellXfs>
  <cellStyles count="1">
    <cellStyle name="Normal" xfId="0" builtinId="0"/>
  </cellStyles>
  <dxfs count="119"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</dxfs>
  <tableStyles count="0" defaultTableStyle="TableStyleMedium2" defaultPivotStyle="PivotStyleLight16"/>
  <colors>
    <mruColors>
      <color rgb="FFCCFFCC"/>
      <color rgb="FFFF3B3B"/>
      <color rgb="FF33CC33"/>
      <color rgb="FFCC0000"/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F-HAAB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6484209845631317E-2"/>
                  <c:y val="-6.8824220547827344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36D-4AA5-9B05-FA35424022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D-4AA5-9B05-FA3542402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D-4AA5-9B05-FA35424022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D-4AA5-9B05-FA3542402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'F-HAAB'!$E$38:$E$42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'F-HAAB'!$F$38:$F$42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6D-4AA5-9B05-FA35424022C9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'F-HAAB'!$H$29:$I$29</c:f>
              <c:numCache>
                <c:formatCode>General</c:formatCode>
                <c:ptCount val="2"/>
                <c:pt idx="0">
                  <c:v>219.81</c:v>
                </c:pt>
              </c:numCache>
            </c:numRef>
          </c:xVal>
          <c:yVal>
            <c:numRef>
              <c:f>'F-HAAB'!$D$29</c:f>
              <c:numCache>
                <c:formatCode>General</c:formatCode>
                <c:ptCount val="1"/>
                <c:pt idx="0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6D-4AA5-9B05-FA35424022C9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136D-4AA5-9B05-FA35424022C9}"/>
              </c:ext>
            </c:extLst>
          </c:dPt>
          <c:dLbls>
            <c:delete val="1"/>
          </c:dLbls>
          <c:xVal>
            <c:numRef>
              <c:f>'F-HAAB'!$H$32:$I$32</c:f>
              <c:numCache>
                <c:formatCode>General</c:formatCode>
                <c:ptCount val="2"/>
                <c:pt idx="0">
                  <c:v>219.81</c:v>
                </c:pt>
              </c:numCache>
            </c:numRef>
          </c:xVal>
          <c:yVal>
            <c:numRef>
              <c:f>'F-HAAB'!$D$32</c:f>
              <c:numCache>
                <c:formatCode>0</c:formatCode>
                <c:ptCount val="1"/>
                <c:pt idx="0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6D-4AA5-9B05-FA35424022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45792"/>
        <c:axId val="90146352"/>
      </c:scatterChart>
      <c:valAx>
        <c:axId val="90145792"/>
        <c:scaling>
          <c:orientation val="minMax"/>
          <c:min val="2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6352"/>
        <c:crosses val="autoZero"/>
        <c:crossBetween val="midCat"/>
        <c:minorUnit val="2.0000000000000011E-2"/>
      </c:valAx>
      <c:valAx>
        <c:axId val="90146352"/>
        <c:scaling>
          <c:orientation val="minMax"/>
          <c:max val="800"/>
          <c:min val="5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792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F-HFIA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C0-44AE-B959-AECC74ECBF56}"/>
                </c:ext>
              </c:extLst>
            </c:dLbl>
            <c:dLbl>
              <c:idx val="1"/>
              <c:layout>
                <c:manualLayout>
                  <c:x val="-0.12203907859939347"/>
                  <c:y val="-2.9223298064606256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C0-44AE-B959-AECC74ECBF56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2C0-44AE-B959-AECC74ECBF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C0-44AE-B959-AECC74ECBF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C0-44AE-B959-AECC74ECB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0-44AE-B959-AECC74ECB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'F-HFIA'!$E$39:$E$44</c:f>
              <c:numCache>
                <c:formatCode>General</c:formatCode>
                <c:ptCount val="6"/>
                <c:pt idx="0">
                  <c:v>3.5</c:v>
                </c:pt>
                <c:pt idx="1">
                  <c:v>3.5329999999999999</c:v>
                </c:pt>
                <c:pt idx="2">
                  <c:v>3.5920000000000001</c:v>
                </c:pt>
                <c:pt idx="3">
                  <c:v>3.762</c:v>
                </c:pt>
                <c:pt idx="4">
                  <c:v>3.762</c:v>
                </c:pt>
                <c:pt idx="5">
                  <c:v>3.5</c:v>
                </c:pt>
              </c:numCache>
            </c:numRef>
          </c:xVal>
          <c:yVal>
            <c:numRef>
              <c:f>'F-HFIA'!$F$39:$F$44</c:f>
              <c:numCache>
                <c:formatCode>General</c:formatCode>
                <c:ptCount val="6"/>
                <c:pt idx="0">
                  <c:v>952</c:v>
                </c:pt>
                <c:pt idx="1">
                  <c:v>1224</c:v>
                </c:pt>
                <c:pt idx="2">
                  <c:v>1383</c:v>
                </c:pt>
                <c:pt idx="3">
                  <c:v>1383</c:v>
                </c:pt>
                <c:pt idx="4">
                  <c:v>952</c:v>
                </c:pt>
                <c:pt idx="5">
                  <c:v>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C0-44AE-B959-AECC74ECBF56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'F-HFIA'!$F$30</c:f>
              <c:numCache>
                <c:formatCode>0.00</c:formatCode>
                <c:ptCount val="1"/>
                <c:pt idx="0">
                  <c:v>3.5854359859104306</c:v>
                </c:pt>
              </c:numCache>
            </c:numRef>
          </c:xVal>
          <c:yVal>
            <c:numRef>
              <c:f>'F-HFIA'!$D$30</c:f>
              <c:numCache>
                <c:formatCode>0</c:formatCode>
                <c:ptCount val="1"/>
                <c:pt idx="0">
                  <c:v>973.77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C0-44AE-B959-AECC74ECBF56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8-52C0-44AE-B959-AECC74ECBF56}"/>
              </c:ext>
            </c:extLst>
          </c:dPt>
          <c:dLbls>
            <c:delete val="1"/>
          </c:dLbls>
          <c:xVal>
            <c:numRef>
              <c:f>'F-HFIA'!$F$33</c:f>
              <c:numCache>
                <c:formatCode>0.00</c:formatCode>
                <c:ptCount val="1"/>
                <c:pt idx="0">
                  <c:v>3.5854359859104306</c:v>
                </c:pt>
              </c:numCache>
            </c:numRef>
          </c:xVal>
          <c:yVal>
            <c:numRef>
              <c:f>'F-HFIA'!$D$33</c:f>
              <c:numCache>
                <c:formatCode>0</c:formatCode>
                <c:ptCount val="1"/>
                <c:pt idx="0">
                  <c:v>973.77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2C0-44AE-B959-AECC74ECBF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4240240"/>
        <c:axId val="224240800"/>
      </c:scatterChart>
      <c:valAx>
        <c:axId val="224240240"/>
        <c:scaling>
          <c:orientation val="minMax"/>
          <c:min val="3.4499999999999997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40800"/>
        <c:crosses val="autoZero"/>
        <c:crossBetween val="midCat"/>
        <c:minorUnit val="2.0000000000000011E-2"/>
      </c:valAx>
      <c:valAx>
        <c:axId val="224240800"/>
        <c:scaling>
          <c:orientation val="minMax"/>
          <c:max val="1400"/>
          <c:min val="9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4024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31-YS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'31-YS'!$E$38:$E$42</c:f>
              <c:numCache>
                <c:formatCode>General</c:formatCode>
                <c:ptCount val="5"/>
                <c:pt idx="0">
                  <c:v>30</c:v>
                </c:pt>
                <c:pt idx="1">
                  <c:v>56</c:v>
                </c:pt>
                <c:pt idx="2">
                  <c:v>56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'31-YS'!$F$38:$F$42</c:f>
              <c:numCache>
                <c:formatCode>General</c:formatCode>
                <c:ptCount val="5"/>
                <c:pt idx="0">
                  <c:v>290</c:v>
                </c:pt>
                <c:pt idx="1">
                  <c:v>290</c:v>
                </c:pt>
                <c:pt idx="2">
                  <c:v>472.5</c:v>
                </c:pt>
                <c:pt idx="3">
                  <c:v>472.5</c:v>
                </c:pt>
                <c:pt idx="4">
                  <c:v>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E5-4D6D-AD82-05DC9598C433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'31-YS'!$F$29:$G$29</c:f>
              <c:numCache>
                <c:formatCode>0.00</c:formatCode>
                <c:ptCount val="2"/>
                <c:pt idx="0">
                  <c:v>39.75</c:v>
                </c:pt>
              </c:numCache>
            </c:numRef>
          </c:xVal>
          <c:yVal>
            <c:numRef>
              <c:f>'31-YS'!$D$29</c:f>
              <c:numCache>
                <c:formatCode>0.0</c:formatCode>
                <c:ptCount val="1"/>
                <c:pt idx="0">
                  <c:v>291.5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E5-4D6D-AD82-05DC9598C433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FCE5-4D6D-AD82-05DC9598C433}"/>
              </c:ext>
            </c:extLst>
          </c:dPt>
          <c:dLbls>
            <c:delete val="1"/>
          </c:dLbls>
          <c:xVal>
            <c:numRef>
              <c:f>'31-YS'!$F$32:$G$32</c:f>
              <c:numCache>
                <c:formatCode>General</c:formatCode>
                <c:ptCount val="2"/>
                <c:pt idx="0">
                  <c:v>39.75</c:v>
                </c:pt>
              </c:numCache>
            </c:numRef>
          </c:xVal>
          <c:yVal>
            <c:numRef>
              <c:f>'31-YS'!$D$32</c:f>
              <c:numCache>
                <c:formatCode>0.0</c:formatCode>
                <c:ptCount val="1"/>
                <c:pt idx="0">
                  <c:v>291.5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5-4D6D-AD82-05DC9598C4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45792"/>
        <c:axId val="90146352"/>
      </c:scatterChart>
      <c:valAx>
        <c:axId val="90145792"/>
        <c:scaling>
          <c:orientation val="minMax"/>
          <c:max val="60"/>
          <c:min val="2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6352"/>
        <c:crosses val="autoZero"/>
        <c:crossBetween val="midCat"/>
        <c:majorUnit val="5"/>
        <c:minorUnit val="2.0000000000000011E-2"/>
      </c:valAx>
      <c:valAx>
        <c:axId val="90146352"/>
        <c:scaling>
          <c:orientation val="minMax"/>
          <c:min val="25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79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31-AAE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'31-AAE'!$E$38:$E$42</c:f>
              <c:numCache>
                <c:formatCode>General</c:formatCode>
                <c:ptCount val="5"/>
                <c:pt idx="0">
                  <c:v>300</c:v>
                </c:pt>
                <c:pt idx="1">
                  <c:v>560</c:v>
                </c:pt>
                <c:pt idx="2">
                  <c:v>560</c:v>
                </c:pt>
                <c:pt idx="3">
                  <c:v>300</c:v>
                </c:pt>
                <c:pt idx="4">
                  <c:v>300</c:v>
                </c:pt>
              </c:numCache>
            </c:numRef>
          </c:xVal>
          <c:yVal>
            <c:numRef>
              <c:f>'31-AAE'!$F$38:$F$42</c:f>
              <c:numCache>
                <c:formatCode>General</c:formatCode>
                <c:ptCount val="5"/>
                <c:pt idx="0">
                  <c:v>290</c:v>
                </c:pt>
                <c:pt idx="1">
                  <c:v>290</c:v>
                </c:pt>
                <c:pt idx="2">
                  <c:v>472.5</c:v>
                </c:pt>
                <c:pt idx="3">
                  <c:v>472.5</c:v>
                </c:pt>
                <c:pt idx="4">
                  <c:v>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3D-4B60-882B-8C67A5575948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'31-AAE'!$F$29:$G$29</c:f>
              <c:numCache>
                <c:formatCode>0.0</c:formatCode>
                <c:ptCount val="2"/>
                <c:pt idx="0">
                  <c:v>409.93148338472088</c:v>
                </c:pt>
              </c:numCache>
            </c:numRef>
          </c:xVal>
          <c:yVal>
            <c:numRef>
              <c:f>'31-AAE'!$D$29</c:f>
              <c:numCache>
                <c:formatCode>0.0</c:formatCode>
                <c:ptCount val="1"/>
                <c:pt idx="0">
                  <c:v>291.89999999999998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3D-4B60-882B-8C67A5575948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2-913D-4B60-882B-8C67A5575948}"/>
              </c:ext>
            </c:extLst>
          </c:dPt>
          <c:dLbls>
            <c:delete val="1"/>
          </c:dLbls>
          <c:xVal>
            <c:numRef>
              <c:f>'31-AAE'!$F$32:$G$32</c:f>
              <c:numCache>
                <c:formatCode>0.0</c:formatCode>
                <c:ptCount val="2"/>
                <c:pt idx="0">
                  <c:v>409.93148338472088</c:v>
                </c:pt>
              </c:numCache>
            </c:numRef>
          </c:xVal>
          <c:yVal>
            <c:numRef>
              <c:f>'31-AAE'!$D$32</c:f>
              <c:numCache>
                <c:formatCode>0.0</c:formatCode>
                <c:ptCount val="1"/>
                <c:pt idx="0">
                  <c:v>291.89999999999998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3D-4B60-882B-8C67A55759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45792"/>
        <c:axId val="90146352"/>
      </c:scatterChart>
      <c:valAx>
        <c:axId val="90145792"/>
        <c:scaling>
          <c:orientation val="minMax"/>
          <c:max val="600"/>
          <c:min val="25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6352"/>
        <c:crosses val="autoZero"/>
        <c:crossBetween val="midCat"/>
        <c:majorUnit val="50"/>
        <c:minorUnit val="2.0000000000000011E-2"/>
      </c:valAx>
      <c:valAx>
        <c:axId val="90146352"/>
        <c:scaling>
          <c:orientation val="minMax"/>
          <c:min val="25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79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F-GVFP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6484209845631317E-2"/>
                  <c:y val="-6.8824220547827344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12C-47E3-823B-31161072B4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C-47E3-823B-31161072B4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C-47E3-823B-31161072B4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C-47E3-823B-31161072B4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'F-GVFP'!$E$38:$E$42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'F-GVFP'!$F$38:$F$42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2C-47E3-823B-31161072B4A0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'F-GVFP'!$H$29:$I$29</c:f>
              <c:numCache>
                <c:formatCode>0</c:formatCode>
                <c:ptCount val="2"/>
                <c:pt idx="0">
                  <c:v>210.97</c:v>
                </c:pt>
              </c:numCache>
            </c:numRef>
          </c:xVal>
          <c:yVal>
            <c:numRef>
              <c:f>'F-GVFP'!$D$29</c:f>
              <c:numCache>
                <c:formatCode>0</c:formatCode>
                <c:ptCount val="1"/>
                <c:pt idx="0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2C-47E3-823B-31161072B4A0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A12C-47E3-823B-31161072B4A0}"/>
              </c:ext>
            </c:extLst>
          </c:dPt>
          <c:dLbls>
            <c:delete val="1"/>
          </c:dLbls>
          <c:xVal>
            <c:numRef>
              <c:f>'F-GVFP'!$H$32:$I$32</c:f>
              <c:numCache>
                <c:formatCode>General</c:formatCode>
                <c:ptCount val="2"/>
                <c:pt idx="0">
                  <c:v>210.97</c:v>
                </c:pt>
              </c:numCache>
            </c:numRef>
          </c:xVal>
          <c:yVal>
            <c:numRef>
              <c:f>'F-GVFP'!$D$32</c:f>
              <c:numCache>
                <c:formatCode>0</c:formatCode>
                <c:ptCount val="1"/>
                <c:pt idx="0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2C-47E3-823B-31161072B4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50272"/>
        <c:axId val="90150832"/>
      </c:scatterChart>
      <c:valAx>
        <c:axId val="90150272"/>
        <c:scaling>
          <c:orientation val="minMax"/>
          <c:min val="2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50832"/>
        <c:crosses val="autoZero"/>
        <c:crossBetween val="midCat"/>
        <c:minorUnit val="2.0000000000000011E-2"/>
      </c:valAx>
      <c:valAx>
        <c:axId val="90150832"/>
        <c:scaling>
          <c:orientation val="minMax"/>
          <c:max val="800"/>
          <c:min val="5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50272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F-GZPL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6484209845631317E-2"/>
                  <c:y val="-6.8824220547827344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673-4569-8326-114E86F8E1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73-4569-8326-114E86F8E1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73-4569-8326-114E86F8E1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73-4569-8326-114E86F8E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'F-GZPL'!$E$38:$E$42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'F-GZPL'!$F$38:$F$42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73-4569-8326-114E86F8E1F1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'F-GZPL'!$H$29:$I$29</c:f>
              <c:numCache>
                <c:formatCode>0</c:formatCode>
                <c:ptCount val="2"/>
                <c:pt idx="0">
                  <c:v>219.35</c:v>
                </c:pt>
              </c:numCache>
            </c:numRef>
          </c:xVal>
          <c:yVal>
            <c:numRef>
              <c:f>'F-GZPL'!$D$29</c:f>
              <c:numCache>
                <c:formatCode>0</c:formatCode>
                <c:ptCount val="1"/>
                <c:pt idx="0">
                  <c:v>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73-4569-8326-114E86F8E1F1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A673-4569-8326-114E86F8E1F1}"/>
              </c:ext>
            </c:extLst>
          </c:dPt>
          <c:dLbls>
            <c:delete val="1"/>
          </c:dLbls>
          <c:xVal>
            <c:numRef>
              <c:f>'F-GZPL'!$H$32:$I$32</c:f>
              <c:numCache>
                <c:formatCode>General</c:formatCode>
                <c:ptCount val="2"/>
                <c:pt idx="0">
                  <c:v>219.35</c:v>
                </c:pt>
              </c:numCache>
            </c:numRef>
          </c:xVal>
          <c:yVal>
            <c:numRef>
              <c:f>'F-GZPL'!$D$32</c:f>
              <c:numCache>
                <c:formatCode>0</c:formatCode>
                <c:ptCount val="1"/>
                <c:pt idx="0">
                  <c:v>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73-4569-8326-114E86F8E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022304"/>
        <c:axId val="223022864"/>
      </c:scatterChart>
      <c:valAx>
        <c:axId val="223022304"/>
        <c:scaling>
          <c:orientation val="minMax"/>
          <c:min val="2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2864"/>
        <c:crosses val="autoZero"/>
        <c:crossBetween val="midCat"/>
        <c:minorUnit val="2.0000000000000011E-2"/>
      </c:valAx>
      <c:valAx>
        <c:axId val="223022864"/>
        <c:scaling>
          <c:orientation val="minMax"/>
          <c:max val="800"/>
          <c:min val="5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230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F-GZAL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D9-424C-A5C0-09E8C43CF03F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9D9-424C-A5C0-09E8C43CF03F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D9-424C-A5C0-09E8C43CF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'F-GZAL'!$E$39:$E$43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'F-GZAL'!$F$39:$F$43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9-424C-A5C0-09E8C43CF03F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'F-GZAL'!$F$30</c:f>
              <c:numCache>
                <c:formatCode>0.00</c:formatCode>
                <c:ptCount val="1"/>
                <c:pt idx="0">
                  <c:v>0.35824742268041238</c:v>
                </c:pt>
              </c:numCache>
            </c:numRef>
          </c:xVal>
          <c:yVal>
            <c:numRef>
              <c:f>'F-GZAL'!$D$30</c:f>
              <c:numCache>
                <c:formatCode>0</c:formatCode>
                <c:ptCount val="1"/>
                <c:pt idx="0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9-424C-A5C0-09E8C43CF03F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C9D9-424C-A5C0-09E8C43CF03F}"/>
              </c:ext>
            </c:extLst>
          </c:dPt>
          <c:dLbls>
            <c:delete val="1"/>
          </c:dLbls>
          <c:xVal>
            <c:numRef>
              <c:f>'F-GZAL'!$F$33</c:f>
              <c:numCache>
                <c:formatCode>0.00</c:formatCode>
                <c:ptCount val="1"/>
                <c:pt idx="0">
                  <c:v>0.35824742268041238</c:v>
                </c:pt>
              </c:numCache>
            </c:numRef>
          </c:xVal>
          <c:yVal>
            <c:numRef>
              <c:f>'F-GZAL'!$D$33</c:f>
              <c:numCache>
                <c:formatCode>0</c:formatCode>
                <c:ptCount val="1"/>
                <c:pt idx="0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D9-424C-A5C0-09E8C43CF0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439680"/>
        <c:axId val="223440240"/>
      </c:scatterChart>
      <c:valAx>
        <c:axId val="223439680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440240"/>
        <c:crosses val="autoZero"/>
        <c:crossBetween val="midCat"/>
        <c:minorUnit val="2.0000000000000011E-2"/>
      </c:valAx>
      <c:valAx>
        <c:axId val="223440240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43968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F-GLDO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8B6-41D9-AB8B-7D006468CAEB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8B6-41D9-AB8B-7D006468CAEB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8B6-41D9-AB8B-7D006468C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'F-GLDO'!$E$39:$E$43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'F-GLDO'!$F$39:$F$43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B6-41D9-AB8B-7D006468CAEB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'F-GLDO'!$F$30</c:f>
              <c:numCache>
                <c:formatCode>0.00</c:formatCode>
                <c:ptCount val="1"/>
                <c:pt idx="0">
                  <c:v>0.35824742268041238</c:v>
                </c:pt>
              </c:numCache>
            </c:numRef>
          </c:xVal>
          <c:yVal>
            <c:numRef>
              <c:f>'F-GLDO'!$D$30</c:f>
              <c:numCache>
                <c:formatCode>0</c:formatCode>
                <c:ptCount val="1"/>
                <c:pt idx="0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B6-41D9-AB8B-7D006468CAEB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C8B6-41D9-AB8B-7D006468CAEB}"/>
              </c:ext>
            </c:extLst>
          </c:dPt>
          <c:dLbls>
            <c:delete val="1"/>
          </c:dLbls>
          <c:xVal>
            <c:numRef>
              <c:f>'F-GLDO'!$F$33</c:f>
              <c:numCache>
                <c:formatCode>0.00</c:formatCode>
                <c:ptCount val="1"/>
                <c:pt idx="0">
                  <c:v>0.35824742268041238</c:v>
                </c:pt>
              </c:numCache>
            </c:numRef>
          </c:xVal>
          <c:yVal>
            <c:numRef>
              <c:f>'F-GLDO'!$D$33</c:f>
              <c:numCache>
                <c:formatCode>0</c:formatCode>
                <c:ptCount val="1"/>
                <c:pt idx="0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B6-41D9-AB8B-7D006468C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439680"/>
        <c:axId val="223440240"/>
      </c:scatterChart>
      <c:valAx>
        <c:axId val="223439680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440240"/>
        <c:crosses val="autoZero"/>
        <c:crossBetween val="midCat"/>
        <c:minorUnit val="2.0000000000000011E-2"/>
      </c:valAx>
      <c:valAx>
        <c:axId val="223440240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43968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400" b="0" i="0" u="none" strike="noStrike" kern="1200" spc="0" baseline="0">
                <a:solidFill>
                  <a:schemeClr val="tx1"/>
                </a:solidFill>
                <a:latin typeface="B612" panose="020B0606050000020004" pitchFamily="34" charset="0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chemeClr val="tx1"/>
                </a:solidFill>
                <a:latin typeface="B612" panose="020B0606050000020004" pitchFamily="34" charset="0"/>
                <a:ea typeface="+mn-ea"/>
                <a:cs typeface="+mn-cs"/>
              </a:rPr>
              <a:t>Centrage F-GXPP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400" b="0" i="0" u="none" strike="noStrike" kern="1200" spc="0" baseline="0">
              <a:solidFill>
                <a:schemeClr val="tx1"/>
              </a:solidFill>
              <a:latin typeface="B612" panose="020B06060500000200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'F-GXPP'!$G$40</c:f>
              <c:strCache>
                <c:ptCount val="1"/>
                <c:pt idx="0">
                  <c:v>Catégorie U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'F-GXPP'!$E$41:$E$45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'F-GXPP'!$G$41:$G$45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32-45C4-92D1-ECDF7D47D867}"/>
            </c:ext>
          </c:extLst>
        </c:ser>
        <c:ser>
          <c:idx val="3"/>
          <c:order val="3"/>
          <c:tx>
            <c:v>Arrivée</c:v>
          </c:tx>
          <c:spPr>
            <a:ln w="889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'F-GXPP'!$F$35:$G$35</c:f>
              <c:numCache>
                <c:formatCode>0.00</c:formatCode>
                <c:ptCount val="2"/>
                <c:pt idx="0">
                  <c:v>0.31</c:v>
                </c:pt>
              </c:numCache>
            </c:numRef>
          </c:xVal>
          <c:yVal>
            <c:numRef>
              <c:f>'F-GXPP'!$D$35:$E$35</c:f>
              <c:numCache>
                <c:formatCode>General</c:formatCode>
                <c:ptCount val="2"/>
                <c:pt idx="0" formatCode="0">
                  <c:v>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2032-45C4-92D1-ECDF7D47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686128"/>
        <c:axId val="614247344"/>
      </c:scatterChart>
      <c:scatterChart>
        <c:scatterStyle val="smoothMarker"/>
        <c:varyColors val="0"/>
        <c:ser>
          <c:idx val="0"/>
          <c:order val="0"/>
          <c:tx>
            <c:strRef>
              <c:f>'F-GXPP'!$F$40</c:f>
              <c:strCache>
                <c:ptCount val="1"/>
                <c:pt idx="0">
                  <c:v>Catégorie 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32-45C4-92D1-ECDF7D47D867}"/>
                </c:ext>
              </c:extLst>
            </c:dLbl>
            <c:dLbl>
              <c:idx val="1"/>
              <c:layout>
                <c:manualLayout>
                  <c:x val="-5.8457692307692335E-2"/>
                  <c:y val="-6.205422722715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32-45C4-92D1-ECDF7D47D867}"/>
                </c:ext>
              </c:extLst>
            </c:dLbl>
            <c:dLbl>
              <c:idx val="2"/>
              <c:layout>
                <c:manualLayout>
                  <c:x val="-6.9776707941512389E-2"/>
                  <c:y val="-5.423728813559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32-45C4-92D1-ECDF7D47D867}"/>
                </c:ext>
              </c:extLst>
            </c:dLbl>
            <c:dLbl>
              <c:idx val="3"/>
              <c:layout>
                <c:manualLayout>
                  <c:x val="-6.6985639623851997E-2"/>
                  <c:y val="-4.51977401129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32-45C4-92D1-ECDF7D47D8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32-45C4-92D1-ECDF7D47D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rgbClr val="CC0000"/>
                    </a:solidFill>
                    <a:latin typeface="B612" panose="020B06060500000200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'F-GXPP'!$E$41:$E$45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'F-GXPP'!$F$41:$F$45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1000</c:v>
                </c:pt>
                <c:pt idx="3">
                  <c:v>1000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32-45C4-92D1-ECDF7D47D867}"/>
            </c:ext>
          </c:extLst>
        </c:ser>
        <c:ser>
          <c:idx val="2"/>
          <c:order val="2"/>
          <c:tx>
            <c:v>Départ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'F-GXPP'!$F$31:$G$31</c:f>
              <c:numCache>
                <c:formatCode>0.00</c:formatCode>
                <c:ptCount val="2"/>
                <c:pt idx="0">
                  <c:v>0.31</c:v>
                </c:pt>
              </c:numCache>
            </c:numRef>
          </c:xVal>
          <c:yVal>
            <c:numRef>
              <c:f>'F-GXPP'!$D$31:$E$31</c:f>
              <c:numCache>
                <c:formatCode>General</c:formatCode>
                <c:ptCount val="2"/>
                <c:pt idx="0" formatCode="0">
                  <c:v>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2032-45C4-92D1-ECDF7D47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014592"/>
        <c:axId val="600107520"/>
      </c:scatterChart>
      <c:valAx>
        <c:axId val="611686128"/>
        <c:scaling>
          <c:orientation val="minMax"/>
          <c:min val="0.15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247344"/>
        <c:crosses val="autoZero"/>
        <c:crossBetween val="midCat"/>
      </c:valAx>
      <c:valAx>
        <c:axId val="614247344"/>
        <c:scaling>
          <c:orientation val="minMax"/>
          <c:max val="11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1686128"/>
        <c:crosses val="autoZero"/>
        <c:crossBetween val="midCat"/>
      </c:valAx>
      <c:valAx>
        <c:axId val="600107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94014592"/>
        <c:crosses val="max"/>
        <c:crossBetween val="midCat"/>
      </c:valAx>
      <c:valAx>
        <c:axId val="59401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107520"/>
        <c:crosses val="autoZero"/>
        <c:crossBetween val="midCat"/>
      </c:valAx>
      <c:spPr>
        <a:noFill/>
        <a:ln>
          <a:solidFill>
            <a:schemeClr val="tx1"/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F-GTMP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B9E-4BA9-9524-2625E9EF468C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B9E-4BA9-9524-2625E9EF468C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B9E-4BA9-9524-2625E9EF4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'F-HJAY'!$E$39:$E$43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'F-HJAY'!$F$39:$F$43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9E-4BA9-9524-2625E9EF468C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'F-HJAY'!$F$30</c:f>
              <c:numCache>
                <c:formatCode>0.00</c:formatCode>
                <c:ptCount val="1"/>
                <c:pt idx="0">
                  <c:v>0.41204054054054051</c:v>
                </c:pt>
              </c:numCache>
            </c:numRef>
          </c:xVal>
          <c:yVal>
            <c:numRef>
              <c:f>'F-HJAY'!$D$30</c:f>
              <c:numCache>
                <c:formatCode>0</c:formatCode>
                <c:ptCount val="1"/>
                <c:pt idx="0">
                  <c:v>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9E-4BA9-9524-2625E9EF468C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5B9E-4BA9-9524-2625E9EF468C}"/>
              </c:ext>
            </c:extLst>
          </c:dPt>
          <c:dLbls>
            <c:delete val="1"/>
          </c:dLbls>
          <c:xVal>
            <c:numRef>
              <c:f>'F-HJAY'!$F$33</c:f>
              <c:numCache>
                <c:formatCode>0.00</c:formatCode>
                <c:ptCount val="1"/>
                <c:pt idx="0">
                  <c:v>0.41204054054054051</c:v>
                </c:pt>
              </c:numCache>
            </c:numRef>
          </c:xVal>
          <c:yVal>
            <c:numRef>
              <c:f>'F-HJAY'!$D$33</c:f>
              <c:numCache>
                <c:formatCode>0</c:formatCode>
                <c:ptCount val="1"/>
                <c:pt idx="0">
                  <c:v>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9E-4BA9-9524-2625E9EF46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026784"/>
        <c:axId val="223027344"/>
      </c:scatterChart>
      <c:valAx>
        <c:axId val="223026784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7344"/>
        <c:crosses val="autoZero"/>
        <c:crossBetween val="midCat"/>
        <c:minorUnit val="2.0000000000000011E-2"/>
      </c:valAx>
      <c:valAx>
        <c:axId val="223027344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678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F-HEBC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CF1-4A93-9EC6-8700338E7E9A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CF1-4A93-9EC6-8700338E7E9A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CF1-4A93-9EC6-8700338E7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'F-HEBC'!$E$39:$E$43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'F-HEBC'!$F$39:$F$43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F1-4A93-9EC6-8700338E7E9A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'F-HEBC'!$F$30</c:f>
              <c:numCache>
                <c:formatCode>0.00</c:formatCode>
                <c:ptCount val="1"/>
                <c:pt idx="0">
                  <c:v>0.40085932203389829</c:v>
                </c:pt>
              </c:numCache>
            </c:numRef>
          </c:xVal>
          <c:yVal>
            <c:numRef>
              <c:f>'F-HEBC'!$D$30</c:f>
              <c:numCache>
                <c:formatCode>0</c:formatCode>
                <c:ptCount val="1"/>
                <c:pt idx="0">
                  <c:v>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F1-4A93-9EC6-8700338E7E9A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7CF1-4A93-9EC6-8700338E7E9A}"/>
              </c:ext>
            </c:extLst>
          </c:dPt>
          <c:dLbls>
            <c:delete val="1"/>
          </c:dLbls>
          <c:xVal>
            <c:numRef>
              <c:f>'F-HEBC'!$F$33</c:f>
              <c:numCache>
                <c:formatCode>0.00</c:formatCode>
                <c:ptCount val="1"/>
                <c:pt idx="0">
                  <c:v>0.40085932203389829</c:v>
                </c:pt>
              </c:numCache>
            </c:numRef>
          </c:xVal>
          <c:yVal>
            <c:numRef>
              <c:f>'F-HEBC'!$D$33</c:f>
              <c:numCache>
                <c:formatCode>0</c:formatCode>
                <c:ptCount val="1"/>
                <c:pt idx="0">
                  <c:v>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F1-4A93-9EC6-8700338E7E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026784"/>
        <c:axId val="223027344"/>
      </c:scatterChart>
      <c:valAx>
        <c:axId val="223026784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7344"/>
        <c:crosses val="autoZero"/>
        <c:crossBetween val="midCat"/>
        <c:minorUnit val="2.0000000000000011E-2"/>
      </c:valAx>
      <c:valAx>
        <c:axId val="223027344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678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F-HCGA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6F-454D-B1F6-1ECA83DE8038}"/>
                </c:ext>
              </c:extLst>
            </c:dLbl>
            <c:dLbl>
              <c:idx val="1"/>
              <c:layout>
                <c:manualLayout>
                  <c:x val="-0.12203907859939347"/>
                  <c:y val="-2.9223298064606256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86F-454D-B1F6-1ECA83DE8038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86F-454D-B1F6-1ECA83DE80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6F-454D-B1F6-1ECA83DE803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6F-454D-B1F6-1ECA83DE803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6F-454D-B1F6-1ECA83DE80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'F-HCGA'!$E$39:$E$44</c:f>
              <c:numCache>
                <c:formatCode>General</c:formatCode>
                <c:ptCount val="6"/>
                <c:pt idx="0">
                  <c:v>3.5</c:v>
                </c:pt>
                <c:pt idx="1">
                  <c:v>3.5329999999999999</c:v>
                </c:pt>
                <c:pt idx="2">
                  <c:v>3.5920000000000001</c:v>
                </c:pt>
                <c:pt idx="3">
                  <c:v>3.762</c:v>
                </c:pt>
                <c:pt idx="4">
                  <c:v>3.762</c:v>
                </c:pt>
                <c:pt idx="5">
                  <c:v>3.5</c:v>
                </c:pt>
              </c:numCache>
            </c:numRef>
          </c:xVal>
          <c:yVal>
            <c:numRef>
              <c:f>'F-HCGA'!$F$39:$F$44</c:f>
              <c:numCache>
                <c:formatCode>General</c:formatCode>
                <c:ptCount val="6"/>
                <c:pt idx="0">
                  <c:v>952</c:v>
                </c:pt>
                <c:pt idx="1">
                  <c:v>1224</c:v>
                </c:pt>
                <c:pt idx="2">
                  <c:v>1383</c:v>
                </c:pt>
                <c:pt idx="3">
                  <c:v>1383</c:v>
                </c:pt>
                <c:pt idx="4">
                  <c:v>952</c:v>
                </c:pt>
                <c:pt idx="5">
                  <c:v>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F-454D-B1F6-1ECA83DE8038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'F-HCGA'!$F$30</c:f>
              <c:numCache>
                <c:formatCode>0.00</c:formatCode>
                <c:ptCount val="1"/>
                <c:pt idx="0">
                  <c:v>3.6036400404448936</c:v>
                </c:pt>
              </c:numCache>
            </c:numRef>
          </c:xVal>
          <c:yVal>
            <c:numRef>
              <c:f>'F-HCGA'!$D$30</c:f>
              <c:numCache>
                <c:formatCode>0</c:formatCode>
                <c:ptCount val="1"/>
                <c:pt idx="0">
                  <c:v>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F-454D-B1F6-1ECA83DE8038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8-A86F-454D-B1F6-1ECA83DE8038}"/>
              </c:ext>
            </c:extLst>
          </c:dPt>
          <c:dLbls>
            <c:delete val="1"/>
          </c:dLbls>
          <c:xVal>
            <c:numRef>
              <c:f>'F-HCGA'!$F$33</c:f>
              <c:numCache>
                <c:formatCode>0.00</c:formatCode>
                <c:ptCount val="1"/>
                <c:pt idx="0">
                  <c:v>3.6036400404448936</c:v>
                </c:pt>
              </c:numCache>
            </c:numRef>
          </c:xVal>
          <c:yVal>
            <c:numRef>
              <c:f>'F-HCGA'!$D$33</c:f>
              <c:numCache>
                <c:formatCode>0</c:formatCode>
                <c:ptCount val="1"/>
                <c:pt idx="0">
                  <c:v>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6F-454D-B1F6-1ECA83DE8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4235760"/>
        <c:axId val="224236320"/>
      </c:scatterChart>
      <c:valAx>
        <c:axId val="224235760"/>
        <c:scaling>
          <c:orientation val="minMax"/>
          <c:min val="3.4499999999999997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36320"/>
        <c:crosses val="autoZero"/>
        <c:crossBetween val="midCat"/>
        <c:minorUnit val="2.0000000000000011E-2"/>
      </c:valAx>
      <c:valAx>
        <c:axId val="224236320"/>
        <c:scaling>
          <c:orientation val="minMax"/>
          <c:max val="1400"/>
          <c:min val="9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3576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154728</xdr:colOff>
      <xdr:row>32</xdr:row>
      <xdr:rowOff>64560</xdr:rowOff>
    </xdr:from>
    <xdr:to>
      <xdr:col>8</xdr:col>
      <xdr:colOff>202666</xdr:colOff>
      <xdr:row>50</xdr:row>
      <xdr:rowOff>44097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71804</xdr:colOff>
      <xdr:row>33</xdr:row>
      <xdr:rowOff>79129</xdr:rowOff>
    </xdr:from>
    <xdr:to>
      <xdr:col>8</xdr:col>
      <xdr:colOff>452869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104774</xdr:rowOff>
    </xdr:from>
    <xdr:to>
      <xdr:col>2</xdr:col>
      <xdr:colOff>587049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299"/>
          <a:ext cx="1758624" cy="36195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230928</xdr:colOff>
      <xdr:row>32</xdr:row>
      <xdr:rowOff>102660</xdr:rowOff>
    </xdr:from>
    <xdr:to>
      <xdr:col>8</xdr:col>
      <xdr:colOff>278866</xdr:colOff>
      <xdr:row>50</xdr:row>
      <xdr:rowOff>82197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4B7789-0009-4596-8BD0-76FD877AF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A10F54-3D3F-415E-9BD3-0E4578E2E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297603</xdr:colOff>
      <xdr:row>32</xdr:row>
      <xdr:rowOff>102660</xdr:rowOff>
    </xdr:from>
    <xdr:to>
      <xdr:col>8</xdr:col>
      <xdr:colOff>345541</xdr:colOff>
      <xdr:row>50</xdr:row>
      <xdr:rowOff>82197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056233-4EE4-443B-B634-EBCE36E47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820472-7608-4520-BBB3-6A03A956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154728</xdr:colOff>
      <xdr:row>32</xdr:row>
      <xdr:rowOff>64560</xdr:rowOff>
    </xdr:from>
    <xdr:to>
      <xdr:col>8</xdr:col>
      <xdr:colOff>202666</xdr:colOff>
      <xdr:row>50</xdr:row>
      <xdr:rowOff>44097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154728</xdr:colOff>
      <xdr:row>32</xdr:row>
      <xdr:rowOff>64560</xdr:rowOff>
    </xdr:from>
    <xdr:to>
      <xdr:col>8</xdr:col>
      <xdr:colOff>202666</xdr:colOff>
      <xdr:row>50</xdr:row>
      <xdr:rowOff>44097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8155"/>
          <a:ext cx="1789104" cy="3771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  <xdr:twoCellAnchor>
    <xdr:from>
      <xdr:col>0</xdr:col>
      <xdr:colOff>425452</xdr:colOff>
      <xdr:row>35</xdr:row>
      <xdr:rowOff>102744</xdr:rowOff>
    </xdr:from>
    <xdr:to>
      <xdr:col>8</xdr:col>
      <xdr:colOff>228652</xdr:colOff>
      <xdr:row>50</xdr:row>
      <xdr:rowOff>117471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BDD4341-91FB-4F22-BEC4-3DAA74824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4000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3D8DD7-3250-4FAB-9206-144AA1D18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7DACBC-9584-490A-82F3-C02820BA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4000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71804</xdr:colOff>
      <xdr:row>33</xdr:row>
      <xdr:rowOff>79129</xdr:rowOff>
    </xdr:from>
    <xdr:to>
      <xdr:col>8</xdr:col>
      <xdr:colOff>452869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FF3B3B"/>
  </sheetPr>
  <dimension ref="A1:Q53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35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51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18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/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7"/>
      <c r="N17" s="7"/>
      <c r="O17" s="7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7"/>
      <c r="N18" s="7"/>
      <c r="O18" s="7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512</v>
      </c>
      <c r="E24" s="57"/>
      <c r="F24" s="60">
        <f>H24/D24</f>
        <v>0.42931640625</v>
      </c>
      <c r="G24" s="69"/>
      <c r="H24" s="60">
        <v>219.81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0.51500000000000001</v>
      </c>
      <c r="G25" s="57"/>
      <c r="H25" s="70">
        <f t="shared" ref="H25:H26" si="0">D25*F25</f>
        <v>0</v>
      </c>
      <c r="I25" s="71"/>
    </row>
    <row r="26" spans="1:17" ht="15.6" x14ac:dyDescent="0.4">
      <c r="A26" s="61" t="s">
        <v>11</v>
      </c>
      <c r="B26" s="62"/>
      <c r="C26" s="63"/>
      <c r="D26" s="67"/>
      <c r="E26" s="68"/>
      <c r="F26" s="60">
        <v>1.3</v>
      </c>
      <c r="G26" s="69"/>
      <c r="H26" s="70">
        <f t="shared" si="0"/>
        <v>0</v>
      </c>
      <c r="I26" s="71"/>
    </row>
    <row r="27" spans="1:17" ht="15.6" x14ac:dyDescent="0.4">
      <c r="A27" s="43" t="s">
        <v>13</v>
      </c>
      <c r="B27" s="44"/>
      <c r="C27" s="55"/>
      <c r="D27" s="56">
        <f>+SUM(D24:E26)</f>
        <v>512</v>
      </c>
      <c r="E27" s="57"/>
      <c r="F27" s="58"/>
      <c r="G27" s="59"/>
      <c r="H27" s="60">
        <f>SUM(H24:I26)</f>
        <v>219.81</v>
      </c>
      <c r="I27" s="49"/>
    </row>
    <row r="28" spans="1:17" ht="16.2" thickBot="1" x14ac:dyDescent="0.45">
      <c r="A28" s="61" t="s">
        <v>39</v>
      </c>
      <c r="B28" s="62"/>
      <c r="C28" s="63"/>
      <c r="D28" s="64">
        <f>ROUNDUP(H18*F9,0)</f>
        <v>0</v>
      </c>
      <c r="E28" s="64"/>
      <c r="F28" s="64">
        <v>0.32500000000000001</v>
      </c>
      <c r="G28" s="64"/>
      <c r="H28" s="65">
        <f>D28*F28</f>
        <v>0</v>
      </c>
      <c r="I28" s="66"/>
    </row>
    <row r="29" spans="1:17" ht="16.2" thickBot="1" x14ac:dyDescent="0.45">
      <c r="A29" s="43" t="s">
        <v>12</v>
      </c>
      <c r="B29" s="44"/>
      <c r="C29" s="45"/>
      <c r="D29" s="46">
        <f>D27+D28</f>
        <v>512</v>
      </c>
      <c r="E29" s="47"/>
      <c r="F29" s="48">
        <f>H29/D29</f>
        <v>0.42931640625</v>
      </c>
      <c r="G29" s="49"/>
      <c r="H29" s="46">
        <f>H27+H28</f>
        <v>219.81</v>
      </c>
      <c r="I29" s="47"/>
    </row>
    <row r="30" spans="1:17" ht="15.6" x14ac:dyDescent="0.4">
      <c r="A30" s="15" t="s">
        <v>30</v>
      </c>
      <c r="B30" s="16"/>
      <c r="C30" s="19"/>
      <c r="D30" s="50">
        <f>ROUNDUP(C30*F9,0)</f>
        <v>0</v>
      </c>
      <c r="E30" s="51"/>
      <c r="F30" s="52"/>
      <c r="G30" s="53"/>
      <c r="H30" s="53"/>
      <c r="I30" s="54"/>
    </row>
    <row r="31" spans="1:17" ht="16.2" thickBot="1" x14ac:dyDescent="0.45">
      <c r="A31" s="20" t="s">
        <v>42</v>
      </c>
      <c r="B31" s="21"/>
      <c r="C31" s="22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6.2" thickBot="1" x14ac:dyDescent="0.45">
      <c r="A32" s="35" t="s">
        <v>14</v>
      </c>
      <c r="B32" s="36"/>
      <c r="C32" s="36"/>
      <c r="D32" s="37">
        <f>IF(C30=0,D29,D27+D31)</f>
        <v>512</v>
      </c>
      <c r="E32" s="38"/>
      <c r="F32" s="39">
        <f>H32/D32</f>
        <v>0.42931640625</v>
      </c>
      <c r="G32" s="40"/>
      <c r="H32" s="41">
        <f>IF(C30=0,H29,H27+H31)</f>
        <v>219.81</v>
      </c>
      <c r="I32" s="42"/>
    </row>
    <row r="33" spans="1:9" ht="15.6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 ht="15.6" x14ac:dyDescent="0.4">
      <c r="A38" s="1"/>
      <c r="B38" s="1"/>
      <c r="C38" s="1"/>
      <c r="D38" s="1"/>
      <c r="E38" s="1">
        <v>238</v>
      </c>
      <c r="F38" s="1">
        <v>558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320</v>
      </c>
      <c r="F39" s="1">
        <v>750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393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292</v>
      </c>
      <c r="F41" s="1">
        <v>558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238</v>
      </c>
      <c r="F42" s="1">
        <v>558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+xo8M+nGYc3xu7/d9AIkmAPFlX1/w7d4/z8JGBKciW1sO4RaA6cehCGwXeXGaDiYpAlAhfalrZeJ5DrZWatKAg==" saltValue="7Jdfxukr4TtJY9NhZU15xw==" spinCount="100000" sheet="1" objects="1" scenarios="1"/>
  <protectedRanges>
    <protectedRange sqref="C9 F9 F12:G16 H18 D25:E26 C30" name="Plage1"/>
  </protectedRanges>
  <mergeCells count="81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6:C26"/>
    <mergeCell ref="D26:E26"/>
    <mergeCell ref="F26:G26"/>
    <mergeCell ref="H26:I26"/>
    <mergeCell ref="A24:C24"/>
    <mergeCell ref="D24:E24"/>
    <mergeCell ref="F24:G24"/>
    <mergeCell ref="H24:I24"/>
    <mergeCell ref="A25:C25"/>
    <mergeCell ref="D25:E25"/>
    <mergeCell ref="F25:G25"/>
    <mergeCell ref="H25:I25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D30:E30"/>
    <mergeCell ref="F30:I30"/>
    <mergeCell ref="D31:E31"/>
    <mergeCell ref="F31:G31"/>
    <mergeCell ref="H31:I31"/>
    <mergeCell ref="A32:C32"/>
    <mergeCell ref="D32:E32"/>
    <mergeCell ref="F32:G32"/>
    <mergeCell ref="H32:I32"/>
  </mergeCells>
  <conditionalFormatting sqref="D32:E32">
    <cfRule type="cellIs" dxfId="118" priority="2" operator="greaterThan">
      <formula>750</formula>
    </cfRule>
    <cfRule type="cellIs" dxfId="117" priority="3" operator="lessThanOrEqual">
      <formula>750</formula>
    </cfRule>
  </conditionalFormatting>
  <conditionalFormatting sqref="H18:I18">
    <cfRule type="cellIs" dxfId="116" priority="1" operator="greaterThan">
      <formula>110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tabColor rgb="FF33CC33"/>
  </sheetPr>
  <dimension ref="A1:Q54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60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61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">
      <c r="A9" s="132" t="s">
        <v>33</v>
      </c>
      <c r="B9" s="133"/>
      <c r="C9" s="26">
        <v>12</v>
      </c>
      <c r="D9" s="17" t="s">
        <v>45</v>
      </c>
      <c r="E9" s="17" t="s">
        <v>48</v>
      </c>
      <c r="F9" s="17">
        <v>0.72</v>
      </c>
      <c r="G9" s="182"/>
      <c r="H9" s="182"/>
      <c r="I9" s="183"/>
      <c r="K9" s="12"/>
      <c r="L9" s="2"/>
      <c r="M9" s="2"/>
      <c r="N9" s="18">
        <v>1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46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6"/>
      <c r="N18" s="6"/>
      <c r="O18" s="6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973.77</v>
      </c>
      <c r="E24" s="57"/>
      <c r="F24" s="60">
        <f>H24/D24</f>
        <v>3.5854359859104306</v>
      </c>
      <c r="G24" s="69"/>
      <c r="H24" s="60">
        <v>3491.39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3.65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4.57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5.24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56">
        <f>+SUM(D24:E27)</f>
        <v>973.77</v>
      </c>
      <c r="E28" s="57"/>
      <c r="F28" s="58"/>
      <c r="G28" s="59"/>
      <c r="H28" s="60">
        <f>SUM(H24:I27)</f>
        <v>3491.39</v>
      </c>
      <c r="I28" s="49"/>
    </row>
    <row r="29" spans="1:17" ht="16.2" thickBot="1" x14ac:dyDescent="0.45">
      <c r="A29" s="61" t="s">
        <v>39</v>
      </c>
      <c r="B29" s="62"/>
      <c r="C29" s="63"/>
      <c r="D29" s="105">
        <f>ROUNDUP(H18*3.785*0.72,0)</f>
        <v>0</v>
      </c>
      <c r="E29" s="105"/>
      <c r="F29" s="105">
        <v>3.91</v>
      </c>
      <c r="G29" s="105"/>
      <c r="H29" s="65">
        <f>D29*F29</f>
        <v>0</v>
      </c>
      <c r="I29" s="66"/>
    </row>
    <row r="30" spans="1:17" ht="16.2" thickBot="1" x14ac:dyDescent="0.45">
      <c r="A30" s="43" t="s">
        <v>12</v>
      </c>
      <c r="B30" s="44"/>
      <c r="C30" s="45"/>
      <c r="D30" s="37">
        <f>D28+D29</f>
        <v>973.77</v>
      </c>
      <c r="E30" s="148"/>
      <c r="F30" s="149">
        <f>H30/D30</f>
        <v>3.5854359859104306</v>
      </c>
      <c r="G30" s="159"/>
      <c r="H30" s="184">
        <f>H28+H29</f>
        <v>3491.39</v>
      </c>
      <c r="I30" s="185"/>
    </row>
    <row r="31" spans="1:17" ht="15.6" x14ac:dyDescent="0.4">
      <c r="A31" s="15" t="s">
        <v>30</v>
      </c>
      <c r="B31" s="16"/>
      <c r="C31" s="19"/>
      <c r="D31" s="138">
        <f>ROUNDUP(C31*(IF(N9=1,0.72,0.75)),0)</f>
        <v>0</v>
      </c>
      <c r="E31" s="139"/>
      <c r="F31" s="155"/>
      <c r="G31" s="156"/>
      <c r="H31" s="53"/>
      <c r="I31" s="54"/>
    </row>
    <row r="32" spans="1:17" ht="16.2" thickBot="1" x14ac:dyDescent="0.45">
      <c r="A32" s="140" t="s">
        <v>42</v>
      </c>
      <c r="B32" s="141"/>
      <c r="C32" s="142"/>
      <c r="D32" s="30">
        <f>D29-D31</f>
        <v>0</v>
      </c>
      <c r="E32" s="31"/>
      <c r="F32" s="32">
        <v>3.91</v>
      </c>
      <c r="G32" s="33"/>
      <c r="H32" s="32">
        <f>D32*F32</f>
        <v>0</v>
      </c>
      <c r="I32" s="34"/>
      <c r="K32" s="14"/>
    </row>
    <row r="33" spans="1:9" ht="16.2" thickBot="1" x14ac:dyDescent="0.45">
      <c r="A33" s="35" t="s">
        <v>14</v>
      </c>
      <c r="B33" s="36"/>
      <c r="C33" s="36"/>
      <c r="D33" s="37">
        <f>IF(C31=0,D30,D28+D32)</f>
        <v>973.77</v>
      </c>
      <c r="E33" s="148"/>
      <c r="F33" s="149">
        <f>H33/D33</f>
        <v>3.5854359859104306</v>
      </c>
      <c r="G33" s="159"/>
      <c r="H33" s="186">
        <f>IF(C31=0,H30,H28+H32)</f>
        <v>3491.39</v>
      </c>
      <c r="I33" s="187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3.5</v>
      </c>
      <c r="F39" s="1">
        <v>952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3.5329999999999999</v>
      </c>
      <c r="F40" s="1">
        <v>1224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3.5920000000000001</v>
      </c>
      <c r="F41" s="1">
        <v>1383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3.762</v>
      </c>
      <c r="F42" s="1">
        <v>1383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>
        <v>3.762</v>
      </c>
      <c r="F43" s="1">
        <v>952</v>
      </c>
      <c r="G43" s="1"/>
      <c r="H43" s="1"/>
      <c r="I43" s="1"/>
    </row>
    <row r="44" spans="1:9" ht="15.6" x14ac:dyDescent="0.4">
      <c r="A44" s="1"/>
      <c r="B44" s="1"/>
      <c r="C44" s="1"/>
      <c r="D44" s="1"/>
      <c r="E44" s="1">
        <v>3.5</v>
      </c>
      <c r="F44" s="1">
        <v>952</v>
      </c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Ye7nCf76VyHdHZhI8q0gvm7Iyg3vYbRIhu4nFx0pwBhK2PNeyoHZXgIX5O+24N2CGf+cl9g92nmtsgquarj8qg==" saltValue="wwWrCzexXukomXIDewtItw==" spinCount="100000" sheet="1" objects="1" scenarios="1"/>
  <protectedRanges>
    <protectedRange sqref="C9 F12:G16 H18 D25:E27 C31 F9" name="Range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30" priority="14" operator="greaterThan">
      <formula>1383</formula>
    </cfRule>
    <cfRule type="cellIs" dxfId="29" priority="15" operator="lessThanOrEqual">
      <formula>1383</formula>
    </cfRule>
  </conditionalFormatting>
  <conditionalFormatting sqref="F30:G30">
    <cfRule type="cellIs" dxfId="28" priority="12" operator="greaterThan">
      <formula>3.762</formula>
    </cfRule>
    <cfRule type="cellIs" dxfId="27" priority="13" operator="lessThan">
      <formula>"3.762"</formula>
    </cfRule>
  </conditionalFormatting>
  <conditionalFormatting sqref="D33:G33">
    <cfRule type="cellIs" dxfId="26" priority="10" operator="greaterThan">
      <formula>"0.762"</formula>
    </cfRule>
    <cfRule type="cellIs" dxfId="25" priority="11" operator="lessThanOrEqual">
      <formula>"0.762"</formula>
    </cfRule>
  </conditionalFormatting>
  <conditionalFormatting sqref="H18:I18">
    <cfRule type="cellIs" dxfId="24" priority="9" operator="greaterThan">
      <formula>56</formula>
    </cfRule>
  </conditionalFormatting>
  <conditionalFormatting sqref="D30:E30">
    <cfRule type="cellIs" dxfId="23" priority="7" operator="greaterThan">
      <formula>"0.762"</formula>
    </cfRule>
    <cfRule type="cellIs" dxfId="22" priority="8" operator="lessThanOrEqual">
      <formula>"0.762"</formula>
    </cfRule>
  </conditionalFormatting>
  <conditionalFormatting sqref="F30:G30">
    <cfRule type="cellIs" dxfId="21" priority="5" operator="greaterThan">
      <formula>"0.762"</formula>
    </cfRule>
    <cfRule type="cellIs" dxfId="20" priority="6" operator="lessThanOrEqual">
      <formula>"0.762"</formula>
    </cfRule>
  </conditionalFormatting>
  <conditionalFormatting sqref="H33:I33">
    <cfRule type="cellIs" dxfId="19" priority="3" operator="greaterThan">
      <formula>"0.762"</formula>
    </cfRule>
    <cfRule type="cellIs" dxfId="18" priority="4" operator="lessThanOrEqual">
      <formula>"0.762"</formula>
    </cfRule>
  </conditionalFormatting>
  <conditionalFormatting sqref="H30:I30">
    <cfRule type="cellIs" dxfId="17" priority="1" operator="greaterThan">
      <formula>"0.762"</formula>
    </cfRule>
    <cfRule type="cellIs" dxfId="16" priority="2" operator="lessThanOrEqual">
      <formula>"0.762"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Q53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62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63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15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/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7"/>
      <c r="N17" s="7"/>
      <c r="O17" s="7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7"/>
      <c r="N18" s="7"/>
      <c r="O18" s="7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64</v>
      </c>
      <c r="G23" s="86"/>
      <c r="H23" s="87" t="s">
        <v>65</v>
      </c>
      <c r="I23" s="88"/>
    </row>
    <row r="24" spans="1:17" ht="15.6" x14ac:dyDescent="0.4">
      <c r="A24" s="61" t="s">
        <v>3</v>
      </c>
      <c r="B24" s="62"/>
      <c r="C24" s="63"/>
      <c r="D24" s="56">
        <v>291.5</v>
      </c>
      <c r="E24" s="57"/>
      <c r="F24" s="60">
        <f>H24/D24</f>
        <v>39.75</v>
      </c>
      <c r="G24" s="69"/>
      <c r="H24" s="60">
        <v>11587.125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60">
        <v>40</v>
      </c>
      <c r="G25" s="69"/>
      <c r="H25" s="70">
        <f t="shared" ref="H25:H26" si="0">D25*F25</f>
        <v>0</v>
      </c>
      <c r="I25" s="71"/>
    </row>
    <row r="26" spans="1:17" ht="15.6" x14ac:dyDescent="0.4">
      <c r="A26" s="61" t="s">
        <v>11</v>
      </c>
      <c r="B26" s="62"/>
      <c r="C26" s="63"/>
      <c r="D26" s="67"/>
      <c r="E26" s="68"/>
      <c r="F26" s="60">
        <v>130</v>
      </c>
      <c r="G26" s="69"/>
      <c r="H26" s="70">
        <f t="shared" si="0"/>
        <v>0</v>
      </c>
      <c r="I26" s="71"/>
    </row>
    <row r="27" spans="1:17" ht="15.6" x14ac:dyDescent="0.4">
      <c r="A27" s="43" t="s">
        <v>13</v>
      </c>
      <c r="B27" s="44"/>
      <c r="C27" s="55"/>
      <c r="D27" s="56">
        <f>+SUM(D24:E26)</f>
        <v>291.5</v>
      </c>
      <c r="E27" s="57"/>
      <c r="F27" s="58"/>
      <c r="G27" s="59"/>
      <c r="H27" s="60">
        <f>SUM(H24:I26)</f>
        <v>11587.125</v>
      </c>
      <c r="I27" s="49"/>
    </row>
    <row r="28" spans="1:17" ht="16.2" thickBot="1" x14ac:dyDescent="0.45">
      <c r="A28" s="61" t="s">
        <v>39</v>
      </c>
      <c r="B28" s="62"/>
      <c r="C28" s="63"/>
      <c r="D28" s="105">
        <f>ROUNDUP(H18*F9,0)</f>
        <v>0</v>
      </c>
      <c r="E28" s="105"/>
      <c r="F28" s="194">
        <v>95</v>
      </c>
      <c r="G28" s="194"/>
      <c r="H28" s="65">
        <f>D28*F28</f>
        <v>0</v>
      </c>
      <c r="I28" s="66"/>
    </row>
    <row r="29" spans="1:17" ht="16.2" thickBot="1" x14ac:dyDescent="0.45">
      <c r="A29" s="43" t="s">
        <v>12</v>
      </c>
      <c r="B29" s="44"/>
      <c r="C29" s="45"/>
      <c r="D29" s="188">
        <f>D27+D28</f>
        <v>291.5</v>
      </c>
      <c r="E29" s="189"/>
      <c r="F29" s="149">
        <f>H29/D29</f>
        <v>39.75</v>
      </c>
      <c r="G29" s="159"/>
      <c r="H29" s="192">
        <f>H27+H28</f>
        <v>11587.125</v>
      </c>
      <c r="I29" s="193"/>
    </row>
    <row r="30" spans="1:17" ht="15.6" x14ac:dyDescent="0.4">
      <c r="A30" s="15" t="s">
        <v>30</v>
      </c>
      <c r="B30" s="16"/>
      <c r="C30" s="19"/>
      <c r="D30" s="138">
        <f>ROUNDUP(C30*F9,0)</f>
        <v>0</v>
      </c>
      <c r="E30" s="139"/>
      <c r="F30" s="52"/>
      <c r="G30" s="53"/>
      <c r="H30" s="53"/>
      <c r="I30" s="54"/>
    </row>
    <row r="31" spans="1:17" ht="16.2" thickBot="1" x14ac:dyDescent="0.45">
      <c r="A31" s="27" t="s">
        <v>42</v>
      </c>
      <c r="B31" s="28"/>
      <c r="C31" s="29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6.2" thickBot="1" x14ac:dyDescent="0.45">
      <c r="A32" s="35" t="s">
        <v>14</v>
      </c>
      <c r="B32" s="36"/>
      <c r="C32" s="36"/>
      <c r="D32" s="188">
        <f>IF(C30=0,D29,D27+D31)</f>
        <v>291.5</v>
      </c>
      <c r="E32" s="189"/>
      <c r="F32" s="41">
        <f>H32/D32</f>
        <v>39.75</v>
      </c>
      <c r="G32" s="42"/>
      <c r="H32" s="190">
        <f>IF(C30=0,H29,H27+H31)</f>
        <v>11587.125</v>
      </c>
      <c r="I32" s="191"/>
    </row>
    <row r="33" spans="1:9" ht="15.6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 ht="15.6" x14ac:dyDescent="0.4">
      <c r="A38" s="1"/>
      <c r="B38" s="1"/>
      <c r="C38" s="1"/>
      <c r="D38" s="1"/>
      <c r="E38" s="1">
        <v>30</v>
      </c>
      <c r="F38" s="1">
        <v>290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56</v>
      </c>
      <c r="F39" s="1">
        <v>290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56</v>
      </c>
      <c r="F40" s="1">
        <v>472.5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30</v>
      </c>
      <c r="F41" s="1">
        <v>472.5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30</v>
      </c>
      <c r="F42" s="1">
        <v>290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mAMtLHPFpA+2ETa/gueNgGR793OTHnI8ervQx1TkLXQNCWgPq1QwmD9BSmaQKsk/Qn8jpLRVG3jD3bDd1NG53w==" saltValue="mGuBNy61eOPBYjWmdZzSiA==" spinCount="100000" sheet="1" objects="1" scenarios="1"/>
  <protectedRanges>
    <protectedRange sqref="C9 F9 F12:G16 H18 D25:E26 C30" name="Plage1"/>
  </protectedRanges>
  <mergeCells count="81"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0:E10"/>
    <mergeCell ref="F10:G10"/>
    <mergeCell ref="H10:I10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8:C28"/>
    <mergeCell ref="D28:E28"/>
    <mergeCell ref="F28:G28"/>
    <mergeCell ref="H28:I28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32:C32"/>
    <mergeCell ref="D32:E32"/>
    <mergeCell ref="F32:G32"/>
    <mergeCell ref="H32:I32"/>
    <mergeCell ref="A29:C29"/>
    <mergeCell ref="D29:E29"/>
    <mergeCell ref="F29:G29"/>
    <mergeCell ref="H29:I29"/>
    <mergeCell ref="H31:I31"/>
    <mergeCell ref="D30:E30"/>
    <mergeCell ref="F30:I30"/>
    <mergeCell ref="D31:E31"/>
    <mergeCell ref="F31:G31"/>
  </mergeCells>
  <conditionalFormatting sqref="D32:E32">
    <cfRule type="cellIs" dxfId="15" priority="6" operator="greaterThan">
      <formula>750</formula>
    </cfRule>
    <cfRule type="cellIs" dxfId="14" priority="7" operator="lessThanOrEqual">
      <formula>750</formula>
    </cfRule>
  </conditionalFormatting>
  <conditionalFormatting sqref="H18:I18">
    <cfRule type="cellIs" dxfId="13" priority="5" operator="greaterThan">
      <formula>110</formula>
    </cfRule>
  </conditionalFormatting>
  <conditionalFormatting sqref="D29:E29">
    <cfRule type="cellIs" dxfId="12" priority="3" operator="greaterThan">
      <formula>750</formula>
    </cfRule>
    <cfRule type="cellIs" dxfId="11" priority="4" operator="lessThanOrEqual">
      <formula>750</formula>
    </cfRule>
  </conditionalFormatting>
  <conditionalFormatting sqref="F29:G29">
    <cfRule type="cellIs" dxfId="10" priority="1" operator="greaterThan">
      <formula>750</formula>
    </cfRule>
    <cfRule type="cellIs" dxfId="9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Q53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66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63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15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/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7"/>
      <c r="N17" s="7"/>
      <c r="O17" s="7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7"/>
      <c r="N18" s="7"/>
      <c r="O18" s="7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67</v>
      </c>
      <c r="G23" s="86"/>
      <c r="H23" s="87" t="s">
        <v>65</v>
      </c>
      <c r="I23" s="88"/>
    </row>
    <row r="24" spans="1:17" ht="15.6" x14ac:dyDescent="0.4">
      <c r="A24" s="61" t="s">
        <v>3</v>
      </c>
      <c r="B24" s="62"/>
      <c r="C24" s="63"/>
      <c r="D24" s="56">
        <v>291.89999999999998</v>
      </c>
      <c r="E24" s="57"/>
      <c r="F24" s="60">
        <f>H24/D24-1000</f>
        <v>413.3573141486811</v>
      </c>
      <c r="G24" s="69"/>
      <c r="H24" s="60">
        <v>412559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60">
        <v>1770</v>
      </c>
      <c r="G25" s="69"/>
      <c r="H25" s="70">
        <f>D25*F25-1000</f>
        <v>-1000</v>
      </c>
      <c r="I25" s="71"/>
    </row>
    <row r="26" spans="1:17" ht="15.6" x14ac:dyDescent="0.4">
      <c r="A26" s="61" t="s">
        <v>11</v>
      </c>
      <c r="B26" s="62"/>
      <c r="C26" s="63"/>
      <c r="D26" s="67"/>
      <c r="E26" s="68"/>
      <c r="F26" s="60">
        <v>230</v>
      </c>
      <c r="G26" s="69"/>
      <c r="H26" s="70">
        <f t="shared" ref="H26" si="0">D26*F26</f>
        <v>0</v>
      </c>
      <c r="I26" s="71"/>
    </row>
    <row r="27" spans="1:17" ht="15.6" x14ac:dyDescent="0.4">
      <c r="A27" s="43" t="s">
        <v>13</v>
      </c>
      <c r="B27" s="44"/>
      <c r="C27" s="55"/>
      <c r="D27" s="56">
        <f>+SUM(D24:E26)</f>
        <v>291.89999999999998</v>
      </c>
      <c r="E27" s="57"/>
      <c r="F27" s="58"/>
      <c r="G27" s="59"/>
      <c r="H27" s="60">
        <f>SUM(H24:I26)</f>
        <v>411559</v>
      </c>
      <c r="I27" s="49"/>
    </row>
    <row r="28" spans="1:17" ht="16.2" thickBot="1" x14ac:dyDescent="0.45">
      <c r="A28" s="61" t="s">
        <v>39</v>
      </c>
      <c r="B28" s="62"/>
      <c r="C28" s="63"/>
      <c r="D28" s="105">
        <f>ROUNDUP(H18*F9,0)</f>
        <v>0</v>
      </c>
      <c r="E28" s="105"/>
      <c r="F28" s="194">
        <v>950</v>
      </c>
      <c r="G28" s="194"/>
      <c r="H28" s="65">
        <f>D28*F28</f>
        <v>0</v>
      </c>
      <c r="I28" s="66"/>
    </row>
    <row r="29" spans="1:17" ht="16.2" thickBot="1" x14ac:dyDescent="0.45">
      <c r="A29" s="43" t="s">
        <v>12</v>
      </c>
      <c r="B29" s="44"/>
      <c r="C29" s="45"/>
      <c r="D29" s="188">
        <f>D27+D28</f>
        <v>291.89999999999998</v>
      </c>
      <c r="E29" s="189"/>
      <c r="F29" s="188">
        <f>H29/D29-1000</f>
        <v>409.93148338472088</v>
      </c>
      <c r="G29" s="189"/>
      <c r="H29" s="195">
        <f>H27+H28</f>
        <v>411559</v>
      </c>
      <c r="I29" s="196"/>
    </row>
    <row r="30" spans="1:17" ht="15.6" x14ac:dyDescent="0.4">
      <c r="A30" s="15" t="s">
        <v>30</v>
      </c>
      <c r="B30" s="16"/>
      <c r="C30" s="19"/>
      <c r="D30" s="138">
        <f>ROUNDUP(C30*F9,0)</f>
        <v>0</v>
      </c>
      <c r="E30" s="139"/>
      <c r="F30" s="52"/>
      <c r="G30" s="53"/>
      <c r="H30" s="53"/>
      <c r="I30" s="54"/>
    </row>
    <row r="31" spans="1:17" ht="16.2" thickBot="1" x14ac:dyDescent="0.45">
      <c r="A31" s="27" t="s">
        <v>42</v>
      </c>
      <c r="B31" s="28"/>
      <c r="C31" s="29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6.2" thickBot="1" x14ac:dyDescent="0.45">
      <c r="A32" s="35" t="s">
        <v>14</v>
      </c>
      <c r="B32" s="36"/>
      <c r="C32" s="36"/>
      <c r="D32" s="188">
        <f>IF(C30=0,D29,D27+D31)</f>
        <v>291.89999999999998</v>
      </c>
      <c r="E32" s="189"/>
      <c r="F32" s="188">
        <f>H32/D32-1000</f>
        <v>409.93148338472088</v>
      </c>
      <c r="G32" s="189"/>
      <c r="H32" s="151">
        <f>IF(C30=0,H29,H27+H31)</f>
        <v>411559</v>
      </c>
      <c r="I32" s="152"/>
    </row>
    <row r="33" spans="1:9" ht="15.6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 ht="15.6" x14ac:dyDescent="0.4">
      <c r="A38" s="1"/>
      <c r="B38" s="1"/>
      <c r="C38" s="1"/>
      <c r="D38" s="1"/>
      <c r="E38" s="1">
        <v>300</v>
      </c>
      <c r="F38" s="1">
        <v>290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560</v>
      </c>
      <c r="F39" s="1">
        <v>290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560</v>
      </c>
      <c r="F40" s="1">
        <v>472.5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300</v>
      </c>
      <c r="F41" s="1">
        <v>472.5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300</v>
      </c>
      <c r="F42" s="1">
        <v>290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75flet2UuP6Eb9lIuuAB3BZiFM0mUDWpOJt/AWgx+tcrYIeEDK+vwW65qj4jsNfUOiC4BgwYuxk0Bmu5biCiXA==" saltValue="67zMj6L8RpW277Wh7TWCjw==" spinCount="100000" sheet="1" objects="1" scenarios="1"/>
  <protectedRanges>
    <protectedRange sqref="C9 F9 F12:G16 H18 D25:E26 C30" name="Plage1"/>
  </protectedRanges>
  <mergeCells count="81"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0:E10"/>
    <mergeCell ref="F10:G10"/>
    <mergeCell ref="H10:I10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8:C28"/>
    <mergeCell ref="D28:E28"/>
    <mergeCell ref="F28:G28"/>
    <mergeCell ref="H28:I28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32:C32"/>
    <mergeCell ref="D32:E32"/>
    <mergeCell ref="F32:G32"/>
    <mergeCell ref="H32:I32"/>
    <mergeCell ref="A29:C29"/>
    <mergeCell ref="D29:E29"/>
    <mergeCell ref="F29:G29"/>
    <mergeCell ref="H29:I29"/>
    <mergeCell ref="H31:I31"/>
    <mergeCell ref="D30:E30"/>
    <mergeCell ref="F30:I30"/>
    <mergeCell ref="D31:E31"/>
    <mergeCell ref="F31:G31"/>
  </mergeCells>
  <conditionalFormatting sqref="D32:E32">
    <cfRule type="cellIs" dxfId="8" priority="8" operator="greaterThan">
      <formula>750</formula>
    </cfRule>
    <cfRule type="cellIs" dxfId="7" priority="9" operator="lessThanOrEqual">
      <formula>750</formula>
    </cfRule>
  </conditionalFormatting>
  <conditionalFormatting sqref="H18:I18">
    <cfRule type="cellIs" dxfId="6" priority="7" operator="greaterThan">
      <formula>110</formula>
    </cfRule>
  </conditionalFormatting>
  <conditionalFormatting sqref="D29:E29">
    <cfRule type="cellIs" dxfId="5" priority="5" operator="greaterThan">
      <formula>750</formula>
    </cfRule>
    <cfRule type="cellIs" dxfId="4" priority="6" operator="lessThanOrEqual">
      <formula>750</formula>
    </cfRule>
  </conditionalFormatting>
  <conditionalFormatting sqref="F29:G29">
    <cfRule type="cellIs" dxfId="3" priority="3" operator="greaterThan">
      <formula>750</formula>
    </cfRule>
    <cfRule type="cellIs" dxfId="2" priority="4" operator="lessThanOrEqual">
      <formula>750</formula>
    </cfRule>
  </conditionalFormatting>
  <conditionalFormatting sqref="F32:G32">
    <cfRule type="cellIs" dxfId="1" priority="1" operator="greaterThan">
      <formula>750</formula>
    </cfRule>
    <cfRule type="cellIs" dxfId="0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FF3B3B"/>
  </sheetPr>
  <dimension ref="A1:Q53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36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53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18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>
        <v>2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7"/>
      <c r="N17" s="7"/>
      <c r="O17" s="7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7"/>
      <c r="N18" s="7"/>
      <c r="O18" s="7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511</v>
      </c>
      <c r="E24" s="57"/>
      <c r="F24" s="143">
        <f>H24/D24</f>
        <v>0.41285714285714287</v>
      </c>
      <c r="G24" s="144"/>
      <c r="H24" s="60">
        <v>210.97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0.51500000000000001</v>
      </c>
      <c r="G25" s="57"/>
      <c r="H25" s="70">
        <f t="shared" ref="H25:H26" si="0">D25*F25</f>
        <v>0</v>
      </c>
      <c r="I25" s="71"/>
    </row>
    <row r="26" spans="1:17" ht="15.6" x14ac:dyDescent="0.4">
      <c r="A26" s="61" t="s">
        <v>11</v>
      </c>
      <c r="B26" s="62"/>
      <c r="C26" s="63"/>
      <c r="D26" s="67"/>
      <c r="E26" s="68"/>
      <c r="F26" s="60">
        <v>1.3</v>
      </c>
      <c r="G26" s="69"/>
      <c r="H26" s="70">
        <f t="shared" si="0"/>
        <v>0</v>
      </c>
      <c r="I26" s="71"/>
    </row>
    <row r="27" spans="1:17" ht="15.6" x14ac:dyDescent="0.4">
      <c r="A27" s="43" t="s">
        <v>13</v>
      </c>
      <c r="B27" s="44"/>
      <c r="C27" s="55"/>
      <c r="D27" s="56">
        <f>+SUM(D24:E26)</f>
        <v>511</v>
      </c>
      <c r="E27" s="57"/>
      <c r="F27" s="58"/>
      <c r="G27" s="59"/>
      <c r="H27" s="60">
        <f>SUM(H24:I26)</f>
        <v>210.97</v>
      </c>
      <c r="I27" s="49"/>
    </row>
    <row r="28" spans="1:17" ht="16.2" thickBot="1" x14ac:dyDescent="0.45">
      <c r="A28" s="61" t="s">
        <v>39</v>
      </c>
      <c r="B28" s="62"/>
      <c r="C28" s="63"/>
      <c r="D28" s="105">
        <f>ROUNDUP(H18*F9,0)</f>
        <v>0</v>
      </c>
      <c r="E28" s="105"/>
      <c r="F28" s="64">
        <v>0.32500000000000001</v>
      </c>
      <c r="G28" s="64"/>
      <c r="H28" s="65">
        <f>D28*F28</f>
        <v>0</v>
      </c>
      <c r="I28" s="66"/>
    </row>
    <row r="29" spans="1:17" ht="16.2" thickBot="1" x14ac:dyDescent="0.45">
      <c r="A29" s="43" t="s">
        <v>12</v>
      </c>
      <c r="B29" s="44"/>
      <c r="C29" s="45"/>
      <c r="D29" s="37">
        <f>D27+D28</f>
        <v>511</v>
      </c>
      <c r="E29" s="38"/>
      <c r="F29" s="48">
        <f>H29/D29</f>
        <v>0.41285714285714287</v>
      </c>
      <c r="G29" s="49"/>
      <c r="H29" s="37">
        <f>H27+H28</f>
        <v>210.97</v>
      </c>
      <c r="I29" s="38"/>
    </row>
    <row r="30" spans="1:17" ht="15.6" x14ac:dyDescent="0.4">
      <c r="A30" s="15" t="s">
        <v>30</v>
      </c>
      <c r="B30" s="16"/>
      <c r="C30" s="19"/>
      <c r="D30" s="138">
        <f>ROUNDUP(C30*F9,0)</f>
        <v>0</v>
      </c>
      <c r="E30" s="139"/>
      <c r="F30" s="52"/>
      <c r="G30" s="53"/>
      <c r="H30" s="53"/>
      <c r="I30" s="54"/>
    </row>
    <row r="31" spans="1:17" ht="16.2" thickBot="1" x14ac:dyDescent="0.45">
      <c r="A31" s="140" t="s">
        <v>42</v>
      </c>
      <c r="B31" s="141"/>
      <c r="C31" s="142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6.2" thickBot="1" x14ac:dyDescent="0.45">
      <c r="A32" s="35" t="s">
        <v>14</v>
      </c>
      <c r="B32" s="36"/>
      <c r="C32" s="36"/>
      <c r="D32" s="37">
        <f>IF(C30=0,D29,D27+D31)</f>
        <v>511</v>
      </c>
      <c r="E32" s="38"/>
      <c r="F32" s="39">
        <f>H32/D32</f>
        <v>0.41285714285714287</v>
      </c>
      <c r="G32" s="40"/>
      <c r="H32" s="136">
        <f>IF(C30=0,H29,H27+H31)</f>
        <v>210.97</v>
      </c>
      <c r="I32" s="137"/>
    </row>
    <row r="33" spans="1:9" ht="15.6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 ht="15.6" x14ac:dyDescent="0.4">
      <c r="A38" s="1"/>
      <c r="B38" s="1"/>
      <c r="C38" s="1"/>
      <c r="D38" s="1"/>
      <c r="E38" s="1">
        <v>238</v>
      </c>
      <c r="F38" s="1">
        <v>558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320</v>
      </c>
      <c r="F39" s="1">
        <v>750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393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292</v>
      </c>
      <c r="F41" s="1">
        <v>558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238</v>
      </c>
      <c r="F42" s="1">
        <v>558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Z2KpVpORpty4LvqCFoEH6uaeB4+h9jnLcjJCD2eeyap9kXT6jEvfYPWiZ1MvgY/r+zZxHbPUbKXXBYlmbfqKOA==" saltValue="tyhixDSLIVGcmC+9JT0Qrg==" spinCount="100000" sheet="1" objects="1" scenarios="1"/>
  <protectedRanges>
    <protectedRange sqref="C9 F9 F12:G16 H18 D25:E26 C30" name="Range1"/>
  </protectedRanges>
  <mergeCells count="82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2:C32"/>
    <mergeCell ref="D32:E32"/>
    <mergeCell ref="F32:G32"/>
    <mergeCell ref="H32:I32"/>
    <mergeCell ref="D30:E30"/>
    <mergeCell ref="F30:I30"/>
    <mergeCell ref="A31:C31"/>
    <mergeCell ref="D31:E31"/>
    <mergeCell ref="F31:G31"/>
    <mergeCell ref="H31:I31"/>
  </mergeCells>
  <conditionalFormatting sqref="D29:E29">
    <cfRule type="cellIs" dxfId="115" priority="10" operator="greaterThan">
      <formula>750</formula>
    </cfRule>
    <cfRule type="cellIs" dxfId="114" priority="11" operator="lessThanOrEqual">
      <formula>750</formula>
    </cfRule>
  </conditionalFormatting>
  <conditionalFormatting sqref="D32:E32">
    <cfRule type="cellIs" dxfId="113" priority="8" operator="greaterThan">
      <formula>750</formula>
    </cfRule>
    <cfRule type="cellIs" dxfId="112" priority="9" operator="lessThanOrEqual">
      <formula>750</formula>
    </cfRule>
  </conditionalFormatting>
  <conditionalFormatting sqref="H18:I18">
    <cfRule type="cellIs" dxfId="111" priority="7" operator="greaterThan">
      <formula>110</formula>
    </cfRule>
  </conditionalFormatting>
  <conditionalFormatting sqref="D29:E29">
    <cfRule type="cellIs" dxfId="110" priority="5" operator="greaterThan">
      <formula>750</formula>
    </cfRule>
    <cfRule type="cellIs" dxfId="109" priority="6" operator="lessThanOrEqual">
      <formula>750</formula>
    </cfRule>
  </conditionalFormatting>
  <conditionalFormatting sqref="H29:I29">
    <cfRule type="cellIs" dxfId="108" priority="3" operator="greaterThan">
      <formula>750</formula>
    </cfRule>
    <cfRule type="cellIs" dxfId="107" priority="4" operator="lessThanOrEqual">
      <formula>750</formula>
    </cfRule>
  </conditionalFormatting>
  <conditionalFormatting sqref="H29:I29">
    <cfRule type="cellIs" dxfId="106" priority="1" operator="greaterThan">
      <formula>750</formula>
    </cfRule>
    <cfRule type="cellIs" dxfId="105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rgb="FFFF3B3B"/>
  </sheetPr>
  <dimension ref="A1:Q53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37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68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18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>
        <v>0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7"/>
      <c r="N17" s="7"/>
      <c r="O17" s="7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7"/>
      <c r="N18" s="7"/>
      <c r="O18" s="7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506</v>
      </c>
      <c r="E24" s="57"/>
      <c r="F24" s="143">
        <f>H24/D24</f>
        <v>0.43349802371541502</v>
      </c>
      <c r="G24" s="144"/>
      <c r="H24" s="60">
        <v>219.35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0.51500000000000001</v>
      </c>
      <c r="G25" s="57"/>
      <c r="H25" s="70">
        <f t="shared" ref="H25:H26" si="0">D25*F25</f>
        <v>0</v>
      </c>
      <c r="I25" s="71"/>
    </row>
    <row r="26" spans="1:17" ht="15.6" x14ac:dyDescent="0.4">
      <c r="A26" s="61" t="s">
        <v>11</v>
      </c>
      <c r="B26" s="62"/>
      <c r="C26" s="63"/>
      <c r="D26" s="67"/>
      <c r="E26" s="68"/>
      <c r="F26" s="60">
        <v>1.3</v>
      </c>
      <c r="G26" s="69"/>
      <c r="H26" s="70">
        <f t="shared" si="0"/>
        <v>0</v>
      </c>
      <c r="I26" s="71"/>
    </row>
    <row r="27" spans="1:17" ht="15.6" x14ac:dyDescent="0.4">
      <c r="A27" s="43" t="s">
        <v>13</v>
      </c>
      <c r="B27" s="44"/>
      <c r="C27" s="55"/>
      <c r="D27" s="56">
        <f>+SUM(D24:E26)</f>
        <v>506</v>
      </c>
      <c r="E27" s="57"/>
      <c r="F27" s="58"/>
      <c r="G27" s="59"/>
      <c r="H27" s="60">
        <f>SUM(H24:I26)</f>
        <v>219.35</v>
      </c>
      <c r="I27" s="49"/>
    </row>
    <row r="28" spans="1:17" ht="16.2" thickBot="1" x14ac:dyDescent="0.45">
      <c r="A28" s="61" t="s">
        <v>39</v>
      </c>
      <c r="B28" s="62"/>
      <c r="C28" s="63"/>
      <c r="D28" s="105">
        <f>ROUNDUP(H18*F9,0)</f>
        <v>0</v>
      </c>
      <c r="E28" s="105"/>
      <c r="F28" s="64">
        <v>0.32500000000000001</v>
      </c>
      <c r="G28" s="64"/>
      <c r="H28" s="65">
        <f>D28*F28</f>
        <v>0</v>
      </c>
      <c r="I28" s="66"/>
    </row>
    <row r="29" spans="1:17" ht="16.2" thickBot="1" x14ac:dyDescent="0.45">
      <c r="A29" s="43" t="s">
        <v>12</v>
      </c>
      <c r="B29" s="44"/>
      <c r="C29" s="45"/>
      <c r="D29" s="37">
        <f>D27+D28</f>
        <v>506</v>
      </c>
      <c r="E29" s="38"/>
      <c r="F29" s="48">
        <f>H29/D29</f>
        <v>0.43349802371541502</v>
      </c>
      <c r="G29" s="49"/>
      <c r="H29" s="37">
        <f>H27+H28</f>
        <v>219.35</v>
      </c>
      <c r="I29" s="145"/>
    </row>
    <row r="30" spans="1:17" ht="15.6" x14ac:dyDescent="0.4">
      <c r="A30" s="15" t="s">
        <v>30</v>
      </c>
      <c r="B30" s="16"/>
      <c r="C30" s="19"/>
      <c r="D30" s="138">
        <f>ROUNDUP(C30*F9,0)</f>
        <v>0</v>
      </c>
      <c r="E30" s="139"/>
      <c r="F30" s="52"/>
      <c r="G30" s="53"/>
      <c r="H30" s="53"/>
      <c r="I30" s="54"/>
    </row>
    <row r="31" spans="1:17" ht="16.2" thickBot="1" x14ac:dyDescent="0.45">
      <c r="A31" s="140" t="s">
        <v>42</v>
      </c>
      <c r="B31" s="141"/>
      <c r="C31" s="142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6.2" thickBot="1" x14ac:dyDescent="0.45">
      <c r="A32" s="35" t="s">
        <v>14</v>
      </c>
      <c r="B32" s="36"/>
      <c r="C32" s="36"/>
      <c r="D32" s="37">
        <f>IF(C30=0,D29,D27+D31)</f>
        <v>506</v>
      </c>
      <c r="E32" s="38"/>
      <c r="F32" s="39">
        <f>H32/D32</f>
        <v>0.43349802371541502</v>
      </c>
      <c r="G32" s="40"/>
      <c r="H32" s="41">
        <f>IF(C30=0,H29,H27+H31)</f>
        <v>219.35</v>
      </c>
      <c r="I32" s="42"/>
    </row>
    <row r="33" spans="1:9" ht="15.6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 ht="15.6" x14ac:dyDescent="0.4">
      <c r="A38" s="1"/>
      <c r="B38" s="1"/>
      <c r="C38" s="1"/>
      <c r="D38" s="1"/>
      <c r="E38" s="1">
        <v>238</v>
      </c>
      <c r="F38" s="1">
        <v>558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320</v>
      </c>
      <c r="F39" s="1">
        <v>750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393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292</v>
      </c>
      <c r="F41" s="1">
        <v>558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238</v>
      </c>
      <c r="F42" s="1">
        <v>558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rybQXDzbAQOgHsN9X7fXZ5+lnbe+U1y2JaqPGOmdpv6hT52h8Jnf0Rt4OsuWCj3Im+u9cmpMiU94pwJ/pPoyHQ==" saltValue="XZ3Ey9ig1Ut+3pzB5BBAnQ==" spinCount="100000" sheet="1" objects="1" scenarios="1"/>
  <protectedRanges>
    <protectedRange sqref="C9 F9 F12:G16 H18 D25:E26 C30" name="Plage1"/>
  </protectedRanges>
  <mergeCells count="82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2:C32"/>
    <mergeCell ref="D32:E32"/>
    <mergeCell ref="F32:G32"/>
    <mergeCell ref="H32:I32"/>
    <mergeCell ref="D30:E30"/>
    <mergeCell ref="F30:I30"/>
    <mergeCell ref="A31:C31"/>
    <mergeCell ref="D31:E31"/>
    <mergeCell ref="F31:G31"/>
    <mergeCell ref="H31:I31"/>
  </mergeCells>
  <conditionalFormatting sqref="D29:E29">
    <cfRule type="cellIs" dxfId="104" priority="10" operator="greaterThan">
      <formula>750</formula>
    </cfRule>
    <cfRule type="cellIs" dxfId="103" priority="11" operator="lessThanOrEqual">
      <formula>750</formula>
    </cfRule>
  </conditionalFormatting>
  <conditionalFormatting sqref="D32:E32">
    <cfRule type="cellIs" dxfId="102" priority="8" operator="greaterThan">
      <formula>750</formula>
    </cfRule>
    <cfRule type="cellIs" dxfId="101" priority="9" operator="lessThanOrEqual">
      <formula>750</formula>
    </cfRule>
  </conditionalFormatting>
  <conditionalFormatting sqref="H18:I18">
    <cfRule type="cellIs" dxfId="100" priority="7" operator="greaterThan">
      <formula>110</formula>
    </cfRule>
  </conditionalFormatting>
  <conditionalFormatting sqref="D29:E29">
    <cfRule type="cellIs" dxfId="99" priority="5" operator="greaterThan">
      <formula>750</formula>
    </cfRule>
    <cfRule type="cellIs" dxfId="98" priority="6" operator="lessThanOrEqual">
      <formula>750</formula>
    </cfRule>
  </conditionalFormatting>
  <conditionalFormatting sqref="H29:I29">
    <cfRule type="cellIs" dxfId="97" priority="3" operator="greaterThan">
      <formula>750</formula>
    </cfRule>
    <cfRule type="cellIs" dxfId="96" priority="4" operator="lessThanOrEqual">
      <formula>750</formula>
    </cfRule>
  </conditionalFormatting>
  <conditionalFormatting sqref="H29:I29">
    <cfRule type="cellIs" dxfId="95" priority="1" operator="greaterThan">
      <formula>750</formula>
    </cfRule>
    <cfRule type="cellIs" dxfId="94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rgb="FF00B0F0"/>
  </sheetPr>
  <dimension ref="A1:Q54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34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53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25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>
        <v>2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6"/>
      <c r="N18" s="6"/>
      <c r="O18" s="6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582</v>
      </c>
      <c r="E24" s="57"/>
      <c r="F24" s="143">
        <f>H24/D24</f>
        <v>0.35824742268041238</v>
      </c>
      <c r="G24" s="144"/>
      <c r="H24" s="60">
        <v>208.5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0.41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1.19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1.9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56">
        <f>+SUM(D24:E27)</f>
        <v>582</v>
      </c>
      <c r="E28" s="57"/>
      <c r="F28" s="58"/>
      <c r="G28" s="59"/>
      <c r="H28" s="60">
        <f>SUM(H24:I27)</f>
        <v>208.5</v>
      </c>
      <c r="I28" s="49"/>
    </row>
    <row r="29" spans="1:17" ht="16.2" thickBot="1" x14ac:dyDescent="0.45">
      <c r="A29" s="61" t="s">
        <v>39</v>
      </c>
      <c r="B29" s="62"/>
      <c r="C29" s="63"/>
      <c r="D29" s="105">
        <f>ROUNDUP(H18*F9,0)</f>
        <v>0</v>
      </c>
      <c r="E29" s="105"/>
      <c r="F29" s="105">
        <v>1.1200000000000001</v>
      </c>
      <c r="G29" s="105"/>
      <c r="H29" s="101">
        <f>D29*F29</f>
        <v>0</v>
      </c>
      <c r="I29" s="102"/>
    </row>
    <row r="30" spans="1:17" ht="16.2" thickBot="1" x14ac:dyDescent="0.45">
      <c r="A30" s="43" t="s">
        <v>12</v>
      </c>
      <c r="B30" s="44"/>
      <c r="C30" s="45"/>
      <c r="D30" s="37">
        <f>D28+D29</f>
        <v>582</v>
      </c>
      <c r="E30" s="148"/>
      <c r="F30" s="149">
        <f>H30/D30</f>
        <v>0.35824742268041238</v>
      </c>
      <c r="G30" s="150"/>
      <c r="H30" s="153">
        <f>H28+H29</f>
        <v>208.5</v>
      </c>
      <c r="I30" s="154"/>
    </row>
    <row r="31" spans="1:17" ht="15.6" x14ac:dyDescent="0.4">
      <c r="A31" s="15" t="s">
        <v>30</v>
      </c>
      <c r="B31" s="16"/>
      <c r="C31" s="19"/>
      <c r="D31" s="138">
        <f>ROUNDUP(C31*F9,0)</f>
        <v>0</v>
      </c>
      <c r="E31" s="139"/>
      <c r="F31" s="155"/>
      <c r="G31" s="156"/>
      <c r="H31" s="156"/>
      <c r="I31" s="157"/>
    </row>
    <row r="32" spans="1:17" ht="16.2" thickBot="1" x14ac:dyDescent="0.45">
      <c r="A32" s="140" t="s">
        <v>42</v>
      </c>
      <c r="B32" s="141"/>
      <c r="C32" s="142"/>
      <c r="D32" s="30">
        <f>D29-D31</f>
        <v>0</v>
      </c>
      <c r="E32" s="31"/>
      <c r="F32" s="32">
        <v>1.1200000000000001</v>
      </c>
      <c r="G32" s="33"/>
      <c r="H32" s="146">
        <f>D32*F32</f>
        <v>0</v>
      </c>
      <c r="I32" s="147"/>
      <c r="K32" s="14"/>
    </row>
    <row r="33" spans="1:9" ht="16.2" thickBot="1" x14ac:dyDescent="0.45">
      <c r="A33" s="35" t="s">
        <v>14</v>
      </c>
      <c r="B33" s="36"/>
      <c r="C33" s="36"/>
      <c r="D33" s="37">
        <f>IF(C31=0,D30,D28+D32)</f>
        <v>582</v>
      </c>
      <c r="E33" s="148"/>
      <c r="F33" s="149">
        <f>H33/D33</f>
        <v>0.35824742268041238</v>
      </c>
      <c r="G33" s="150"/>
      <c r="H33" s="151">
        <f>IF(C31=0,H30,H28+H32)</f>
        <v>208.5</v>
      </c>
      <c r="I33" s="152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qz84T8voFSVnT8OsxrflCdjZIqZDf817FIsXeCAwB7FYiFHSKctO+lKKnmsIDpf2dtmEPtG2ZfHahTDCtcuAtg==" saltValue="fOy+64HfrHAsiRJ80K8TZg==" spinCount="100000" sheet="1" objects="1" scenarios="1"/>
  <protectedRanges>
    <protectedRange sqref="C9 F12:G16 D25:E27 C31 F9" name="Range1"/>
    <protectedRange sqref="H18" name="Range1_1"/>
  </protectedRanges>
  <mergeCells count="86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0:C30"/>
    <mergeCell ref="D30:E30"/>
    <mergeCell ref="F30:G30"/>
    <mergeCell ref="H30:I30"/>
    <mergeCell ref="D31:E31"/>
    <mergeCell ref="F31:I31"/>
    <mergeCell ref="A32:C32"/>
    <mergeCell ref="D32:E32"/>
    <mergeCell ref="F32:G32"/>
    <mergeCell ref="H32:I32"/>
    <mergeCell ref="A33:C33"/>
    <mergeCell ref="D33:E33"/>
    <mergeCell ref="F33:G33"/>
    <mergeCell ref="H33:I33"/>
  </mergeCells>
  <conditionalFormatting sqref="D30:E30">
    <cfRule type="cellIs" dxfId="93" priority="11" operator="greaterThan">
      <formula>1000</formula>
    </cfRule>
    <cfRule type="cellIs" dxfId="92" priority="12" operator="lessThanOrEqual">
      <formula>1000</formula>
    </cfRule>
  </conditionalFormatting>
  <conditionalFormatting sqref="F30:G30">
    <cfRule type="cellIs" dxfId="91" priority="9" operator="greaterThan">
      <formula>0.564</formula>
    </cfRule>
    <cfRule type="cellIs" dxfId="90" priority="10" operator="lessThan">
      <formula>"0.564"</formula>
    </cfRule>
  </conditionalFormatting>
  <conditionalFormatting sqref="D33:G33">
    <cfRule type="cellIs" dxfId="89" priority="7" operator="greaterThan">
      <formula>1000</formula>
    </cfRule>
    <cfRule type="cellIs" dxfId="88" priority="8" operator="lessThanOrEqual">
      <formula>1000</formula>
    </cfRule>
  </conditionalFormatting>
  <conditionalFormatting sqref="H18:I18">
    <cfRule type="cellIs" dxfId="87" priority="5" operator="greaterThan">
      <formula>109</formula>
    </cfRule>
  </conditionalFormatting>
  <conditionalFormatting sqref="D30:E30">
    <cfRule type="cellIs" dxfId="86" priority="3" operator="greaterThan">
      <formula>1000</formula>
    </cfRule>
    <cfRule type="cellIs" dxfId="85" priority="4" operator="lessThanOrEqual">
      <formula>1000</formula>
    </cfRule>
  </conditionalFormatting>
  <conditionalFormatting sqref="F30:G30">
    <cfRule type="cellIs" dxfId="84" priority="1" operator="greaterThan">
      <formula>1000</formula>
    </cfRule>
    <cfRule type="cellIs" dxfId="83" priority="2" operator="lessThanOrEqual">
      <formula>1000</formula>
    </cfRule>
  </conditionalFormatting>
  <pageMargins left="0.70866141732283472" right="0.70866141732283472" top="0.47244094488188981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tabSelected="1" zoomScaleNormal="100" workbookViewId="0">
      <selection activeCell="M10" sqref="M1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69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70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25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>
        <v>2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6"/>
      <c r="N18" s="6"/>
      <c r="O18" s="6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582</v>
      </c>
      <c r="E24" s="57"/>
      <c r="F24" s="143">
        <f>H24/D24</f>
        <v>0.35824742268041238</v>
      </c>
      <c r="G24" s="144"/>
      <c r="H24" s="60">
        <v>208.5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0.41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1.19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1.9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56">
        <f>+SUM(D24:E27)</f>
        <v>582</v>
      </c>
      <c r="E28" s="57"/>
      <c r="F28" s="58"/>
      <c r="G28" s="59"/>
      <c r="H28" s="60">
        <f>SUM(H24:I27)</f>
        <v>208.5</v>
      </c>
      <c r="I28" s="49"/>
    </row>
    <row r="29" spans="1:17" ht="16.2" thickBot="1" x14ac:dyDescent="0.45">
      <c r="A29" s="61" t="s">
        <v>39</v>
      </c>
      <c r="B29" s="62"/>
      <c r="C29" s="63"/>
      <c r="D29" s="105">
        <f>ROUNDUP(H18*F9,0)</f>
        <v>0</v>
      </c>
      <c r="E29" s="105"/>
      <c r="F29" s="105">
        <v>1.1200000000000001</v>
      </c>
      <c r="G29" s="105"/>
      <c r="H29" s="101">
        <f>D29*F29</f>
        <v>0</v>
      </c>
      <c r="I29" s="102"/>
    </row>
    <row r="30" spans="1:17" ht="16.2" thickBot="1" x14ac:dyDescent="0.45">
      <c r="A30" s="43" t="s">
        <v>12</v>
      </c>
      <c r="B30" s="44"/>
      <c r="C30" s="45"/>
      <c r="D30" s="37">
        <f>D28+D29</f>
        <v>582</v>
      </c>
      <c r="E30" s="148"/>
      <c r="F30" s="149">
        <f>H30/D30</f>
        <v>0.35824742268041238</v>
      </c>
      <c r="G30" s="150"/>
      <c r="H30" s="153">
        <f>H28+H29</f>
        <v>208.5</v>
      </c>
      <c r="I30" s="154"/>
    </row>
    <row r="31" spans="1:17" ht="15.6" x14ac:dyDescent="0.4">
      <c r="A31" s="15" t="s">
        <v>30</v>
      </c>
      <c r="B31" s="16"/>
      <c r="C31" s="19"/>
      <c r="D31" s="138">
        <f>ROUNDUP(C31*F9,0)</f>
        <v>0</v>
      </c>
      <c r="E31" s="139"/>
      <c r="F31" s="155"/>
      <c r="G31" s="156"/>
      <c r="H31" s="156"/>
      <c r="I31" s="157"/>
    </row>
    <row r="32" spans="1:17" ht="16.2" thickBot="1" x14ac:dyDescent="0.45">
      <c r="A32" s="140" t="s">
        <v>42</v>
      </c>
      <c r="B32" s="141"/>
      <c r="C32" s="142"/>
      <c r="D32" s="30">
        <f>D29-D31</f>
        <v>0</v>
      </c>
      <c r="E32" s="31"/>
      <c r="F32" s="32">
        <v>1.1200000000000001</v>
      </c>
      <c r="G32" s="33"/>
      <c r="H32" s="146">
        <f>D32*F32</f>
        <v>0</v>
      </c>
      <c r="I32" s="147"/>
      <c r="K32" s="14"/>
    </row>
    <row r="33" spans="1:9" ht="16.2" thickBot="1" x14ac:dyDescent="0.45">
      <c r="A33" s="35" t="s">
        <v>14</v>
      </c>
      <c r="B33" s="36"/>
      <c r="C33" s="36"/>
      <c r="D33" s="37">
        <f>IF(C31=0,D30,D28+D32)</f>
        <v>582</v>
      </c>
      <c r="E33" s="148"/>
      <c r="F33" s="149">
        <f>H33/D33</f>
        <v>0.35824742268041238</v>
      </c>
      <c r="G33" s="150"/>
      <c r="H33" s="151">
        <f>IF(C31=0,H30,H28+H32)</f>
        <v>208.5</v>
      </c>
      <c r="I33" s="152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</sheetData>
  <protectedRanges>
    <protectedRange sqref="C9 F12:G16 D25:E27 C31 F9" name="Range1"/>
    <protectedRange sqref="H18" name="Range1_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82" priority="10" operator="greaterThan">
      <formula>1000</formula>
    </cfRule>
    <cfRule type="cellIs" dxfId="81" priority="11" operator="lessThanOrEqual">
      <formula>1000</formula>
    </cfRule>
  </conditionalFormatting>
  <conditionalFormatting sqref="F30:G30">
    <cfRule type="cellIs" dxfId="80" priority="8" operator="greaterThan">
      <formula>0.564</formula>
    </cfRule>
    <cfRule type="cellIs" dxfId="79" priority="9" operator="lessThan">
      <formula>"0.564"</formula>
    </cfRule>
  </conditionalFormatting>
  <conditionalFormatting sqref="D33:G33">
    <cfRule type="cellIs" dxfId="78" priority="6" operator="greaterThan">
      <formula>1000</formula>
    </cfRule>
    <cfRule type="cellIs" dxfId="77" priority="7" operator="lessThanOrEqual">
      <formula>1000</formula>
    </cfRule>
  </conditionalFormatting>
  <conditionalFormatting sqref="H18:I18">
    <cfRule type="cellIs" dxfId="76" priority="5" operator="greaterThan">
      <formula>109</formula>
    </cfRule>
  </conditionalFormatting>
  <conditionalFormatting sqref="D30:E30">
    <cfRule type="cellIs" dxfId="75" priority="3" operator="greaterThan">
      <formula>1000</formula>
    </cfRule>
    <cfRule type="cellIs" dxfId="74" priority="4" operator="lessThanOrEqual">
      <formula>1000</formula>
    </cfRule>
  </conditionalFormatting>
  <conditionalFormatting sqref="F30:G30">
    <cfRule type="cellIs" dxfId="73" priority="1" operator="greaterThan">
      <formula>1000</formula>
    </cfRule>
    <cfRule type="cellIs" dxfId="72" priority="2" operator="lessThanOrEqual">
      <formula>1000</formula>
    </cfRule>
  </conditionalFormatting>
  <pageMargins left="0.70866141732283472" right="0.70866141732283472" top="0.47244094488188981" bottom="0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</sheetPr>
  <dimension ref="A1:Q56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3" max="3" width="9.109375" customWidth="1"/>
  </cols>
  <sheetData>
    <row r="1" spans="1:17" x14ac:dyDescent="0.3">
      <c r="A1" s="107" t="s">
        <v>29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  <c r="M2" s="10"/>
      <c r="N2" s="10"/>
      <c r="O2" s="10"/>
      <c r="P2" s="10"/>
      <c r="Q2" s="10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  <c r="M3" s="10"/>
      <c r="N3" s="10"/>
      <c r="O3" s="10"/>
      <c r="P3" s="10"/>
      <c r="Q3" s="10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  <c r="M4" s="10"/>
      <c r="N4" s="10"/>
      <c r="O4" s="10"/>
      <c r="P4" s="10"/>
      <c r="Q4" s="10"/>
    </row>
    <row r="5" spans="1:17" ht="16.2" thickBot="1" x14ac:dyDescent="0.45">
      <c r="A5" s="119"/>
      <c r="B5" s="72"/>
      <c r="C5" s="120"/>
      <c r="D5" s="128" t="s">
        <v>52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s="11" customFormat="1" ht="15" customHeight="1" x14ac:dyDescent="0.35">
      <c r="A9" s="132" t="s">
        <v>33</v>
      </c>
      <c r="B9" s="133"/>
      <c r="C9" s="26">
        <v>33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/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6"/>
      <c r="N18" s="6"/>
      <c r="O18" s="6"/>
      <c r="P18" s="6"/>
      <c r="Q18" s="2"/>
    </row>
    <row r="19" spans="1:17" s="10" customFormat="1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605</v>
      </c>
      <c r="E24" s="57"/>
      <c r="F24" s="60">
        <v>0.31</v>
      </c>
      <c r="G24" s="69"/>
      <c r="H24" s="60">
        <f>D24*F24</f>
        <v>187.55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0.41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1.19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1.9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175">
        <f>+SUM(D24:E27)</f>
        <v>605</v>
      </c>
      <c r="E28" s="55"/>
      <c r="F28" s="58"/>
      <c r="G28" s="59"/>
      <c r="H28" s="176">
        <f>SUM(H24:I27)</f>
        <v>187.55</v>
      </c>
      <c r="I28" s="177"/>
    </row>
    <row r="29" spans="1:17" ht="15.6" x14ac:dyDescent="0.4">
      <c r="A29" s="100" t="s">
        <v>40</v>
      </c>
      <c r="B29" s="57"/>
      <c r="C29" s="19"/>
      <c r="D29" s="105">
        <f>ROUNDUP(C29*F9,0)</f>
        <v>0</v>
      </c>
      <c r="E29" s="105"/>
      <c r="F29" s="105">
        <v>1.1200000000000001</v>
      </c>
      <c r="G29" s="105"/>
      <c r="H29" s="101">
        <f>D29*F29</f>
        <v>0</v>
      </c>
      <c r="I29" s="102"/>
    </row>
    <row r="30" spans="1:17" ht="16.2" thickBot="1" x14ac:dyDescent="0.45">
      <c r="A30" s="100" t="s">
        <v>41</v>
      </c>
      <c r="B30" s="57"/>
      <c r="C30" s="19"/>
      <c r="D30" s="105">
        <f>ROUNDUP(C30*F9,0)</f>
        <v>0</v>
      </c>
      <c r="E30" s="105"/>
      <c r="F30" s="64">
        <v>1.61</v>
      </c>
      <c r="G30" s="64"/>
      <c r="H30" s="65">
        <f>D30*F30</f>
        <v>0</v>
      </c>
      <c r="I30" s="66"/>
    </row>
    <row r="31" spans="1:17" ht="16.2" thickBot="1" x14ac:dyDescent="0.45">
      <c r="A31" s="43" t="s">
        <v>12</v>
      </c>
      <c r="B31" s="44"/>
      <c r="C31" s="45"/>
      <c r="D31" s="37">
        <f>D28+D29+D30</f>
        <v>605</v>
      </c>
      <c r="E31" s="158"/>
      <c r="F31" s="149">
        <f>H31/D31</f>
        <v>0.31</v>
      </c>
      <c r="G31" s="172"/>
      <c r="H31" s="173">
        <f>H28+H29+H30</f>
        <v>187.55</v>
      </c>
      <c r="I31" s="174"/>
    </row>
    <row r="32" spans="1:17" ht="15.6" x14ac:dyDescent="0.4">
      <c r="A32" s="23" t="s">
        <v>43</v>
      </c>
      <c r="B32" s="24"/>
      <c r="C32" s="19"/>
      <c r="D32" s="168">
        <f>C32*F9</f>
        <v>0</v>
      </c>
      <c r="E32" s="169"/>
      <c r="F32" s="32">
        <v>1.1200000000000001</v>
      </c>
      <c r="G32" s="33"/>
      <c r="H32" s="170">
        <f>D32*F32</f>
        <v>0</v>
      </c>
      <c r="I32" s="171"/>
    </row>
    <row r="33" spans="1:9" ht="15.6" x14ac:dyDescent="0.4">
      <c r="A33" s="15" t="s">
        <v>44</v>
      </c>
      <c r="B33" s="16"/>
      <c r="C33" s="19"/>
      <c r="D33" s="146">
        <f>C33*F9</f>
        <v>0</v>
      </c>
      <c r="E33" s="162"/>
      <c r="F33" s="31">
        <v>1.61</v>
      </c>
      <c r="G33" s="31"/>
      <c r="H33" s="163">
        <f>D33*F33</f>
        <v>0</v>
      </c>
      <c r="I33" s="164"/>
    </row>
    <row r="34" spans="1:9" ht="16.2" thickBot="1" x14ac:dyDescent="0.45">
      <c r="A34" s="165" t="s">
        <v>30</v>
      </c>
      <c r="B34" s="162"/>
      <c r="C34" s="25">
        <f>SUM(C32:C33)</f>
        <v>0</v>
      </c>
      <c r="D34" s="138">
        <f>D32+D33</f>
        <v>0</v>
      </c>
      <c r="E34" s="139"/>
      <c r="F34" s="155"/>
      <c r="G34" s="156"/>
      <c r="H34" s="166"/>
      <c r="I34" s="167"/>
    </row>
    <row r="35" spans="1:9" ht="16.2" thickBot="1" x14ac:dyDescent="0.45">
      <c r="A35" s="35" t="s">
        <v>14</v>
      </c>
      <c r="B35" s="36"/>
      <c r="C35" s="36"/>
      <c r="D35" s="37">
        <f>D31-D34</f>
        <v>605</v>
      </c>
      <c r="E35" s="158"/>
      <c r="F35" s="149">
        <f>H35/D35</f>
        <v>0.31</v>
      </c>
      <c r="G35" s="159"/>
      <c r="H35" s="160">
        <f>H31-(H32+H33)</f>
        <v>187.55</v>
      </c>
      <c r="I35" s="16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4">
      <c r="A40" s="1"/>
      <c r="B40" s="1"/>
      <c r="C40" s="1"/>
      <c r="D40" s="1"/>
      <c r="E40" s="1" t="s">
        <v>15</v>
      </c>
      <c r="F40" s="1" t="s">
        <v>56</v>
      </c>
      <c r="G40" s="1" t="s">
        <v>57</v>
      </c>
      <c r="H40" s="1"/>
      <c r="I40" s="1"/>
    </row>
    <row r="41" spans="1:9" ht="15.6" x14ac:dyDescent="0.4">
      <c r="A41" s="1"/>
      <c r="B41" s="1"/>
      <c r="C41" s="1"/>
      <c r="D41" s="1"/>
      <c r="E41" s="1">
        <v>0.20499999999999999</v>
      </c>
      <c r="F41" s="1">
        <v>0</v>
      </c>
      <c r="G41" s="1">
        <v>0</v>
      </c>
      <c r="H41" s="1"/>
      <c r="I41" s="1"/>
    </row>
    <row r="42" spans="1:9" ht="15.6" x14ac:dyDescent="0.4">
      <c r="A42" s="1"/>
      <c r="B42" s="1"/>
      <c r="C42" s="1"/>
      <c r="D42" s="1"/>
      <c r="E42" s="1">
        <v>0.20499999999999999</v>
      </c>
      <c r="F42" s="1">
        <v>750</v>
      </c>
      <c r="G42" s="1">
        <v>750</v>
      </c>
      <c r="H42" s="1"/>
      <c r="I42" s="1"/>
    </row>
    <row r="43" spans="1:9" ht="15.6" x14ac:dyDescent="0.4">
      <c r="A43" s="1"/>
      <c r="B43" s="1"/>
      <c r="C43" s="1"/>
      <c r="D43" s="1"/>
      <c r="E43" s="1">
        <v>0.42799999999999999</v>
      </c>
      <c r="F43" s="1">
        <v>1000</v>
      </c>
      <c r="G43" s="1">
        <v>900</v>
      </c>
      <c r="H43" s="1"/>
      <c r="I43" s="1"/>
    </row>
    <row r="44" spans="1:9" ht="15.6" x14ac:dyDescent="0.4">
      <c r="A44" s="1"/>
      <c r="B44" s="1"/>
      <c r="C44" s="1"/>
      <c r="D44" s="1"/>
      <c r="E44" s="1">
        <v>0.56399999999999995</v>
      </c>
      <c r="F44" s="1">
        <v>1000</v>
      </c>
      <c r="G44" s="1">
        <v>900</v>
      </c>
      <c r="H44" s="1"/>
      <c r="I44" s="1"/>
    </row>
    <row r="45" spans="1:9" ht="15.6" x14ac:dyDescent="0.4">
      <c r="A45" s="1"/>
      <c r="B45" s="1"/>
      <c r="C45" s="1"/>
      <c r="D45" s="1"/>
      <c r="E45" s="1">
        <v>0.56399999999999995</v>
      </c>
      <c r="F45" s="1">
        <v>0</v>
      </c>
      <c r="G45" s="1">
        <v>0</v>
      </c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4">
      <c r="A56" s="1"/>
      <c r="B56" s="1"/>
      <c r="C56" s="1"/>
      <c r="D56" s="1"/>
      <c r="E56" s="1"/>
      <c r="F56" s="1"/>
      <c r="G56" s="1"/>
      <c r="H56" s="1"/>
      <c r="I56" s="1"/>
    </row>
  </sheetData>
  <sheetProtection algorithmName="SHA-512" hashValue="139i24aI6elLGgP+t/09NCEpZ38l62vZygaKX33Gi0devcgy6o/cs74hkLY2Q7c0WixqeQ3f+uMyzaZa1Na5pg==" saltValue="bLxXBHcH/p9ZWlaFOMxsZg==" spinCount="100000" sheet="1" objects="1" scenarios="1"/>
  <protectedRanges>
    <protectedRange sqref="C9 F9 F12:G16 H18 D25:E27 C29:C30 C32:C33" name="Range1"/>
  </protectedRanges>
  <mergeCells count="93">
    <mergeCell ref="G9:I9"/>
    <mergeCell ref="A9:B9"/>
    <mergeCell ref="A3:C5"/>
    <mergeCell ref="A11:E11"/>
    <mergeCell ref="F11:G11"/>
    <mergeCell ref="H11:I11"/>
    <mergeCell ref="A10:E10"/>
    <mergeCell ref="F10:G10"/>
    <mergeCell ref="H10:I10"/>
    <mergeCell ref="A1:I2"/>
    <mergeCell ref="D5:F5"/>
    <mergeCell ref="G3:I3"/>
    <mergeCell ref="A6:I6"/>
    <mergeCell ref="A7:I8"/>
    <mergeCell ref="G5:I5"/>
    <mergeCell ref="D4:F4"/>
    <mergeCell ref="G4:I4"/>
    <mergeCell ref="D3:F3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20:I21"/>
    <mergeCell ref="A22:C23"/>
    <mergeCell ref="D22:E22"/>
    <mergeCell ref="F22:G22"/>
    <mergeCell ref="H22:I22"/>
    <mergeCell ref="D23:E23"/>
    <mergeCell ref="F23:G23"/>
    <mergeCell ref="H23:I23"/>
    <mergeCell ref="A19:I19"/>
    <mergeCell ref="D24:E24"/>
    <mergeCell ref="F24:G24"/>
    <mergeCell ref="H24:I24"/>
    <mergeCell ref="A26:C26"/>
    <mergeCell ref="D26:E26"/>
    <mergeCell ref="F26:G26"/>
    <mergeCell ref="H26:I26"/>
    <mergeCell ref="A25:C25"/>
    <mergeCell ref="D25:E25"/>
    <mergeCell ref="F25:G25"/>
    <mergeCell ref="H25:I25"/>
    <mergeCell ref="A24:C24"/>
    <mergeCell ref="A27:C27"/>
    <mergeCell ref="D27:E27"/>
    <mergeCell ref="F27:G27"/>
    <mergeCell ref="H27:I27"/>
    <mergeCell ref="A28:C28"/>
    <mergeCell ref="D28:E28"/>
    <mergeCell ref="F28:G28"/>
    <mergeCell ref="H28:I28"/>
    <mergeCell ref="A29:B29"/>
    <mergeCell ref="A30:B30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4:E34"/>
    <mergeCell ref="A31:C31"/>
    <mergeCell ref="D31:E31"/>
    <mergeCell ref="F31:G31"/>
    <mergeCell ref="H31:I31"/>
    <mergeCell ref="A35:C35"/>
    <mergeCell ref="D35:E35"/>
    <mergeCell ref="F35:G35"/>
    <mergeCell ref="H35:I35"/>
    <mergeCell ref="D33:E33"/>
    <mergeCell ref="F33:G33"/>
    <mergeCell ref="H33:I33"/>
    <mergeCell ref="A34:B34"/>
    <mergeCell ref="F34:I34"/>
  </mergeCells>
  <conditionalFormatting sqref="D31:E31">
    <cfRule type="cellIs" dxfId="71" priority="12" operator="greaterThan">
      <formula>1000</formula>
    </cfRule>
    <cfRule type="cellIs" dxfId="70" priority="13" operator="lessThanOrEqual">
      <formula>1000</formula>
    </cfRule>
  </conditionalFormatting>
  <conditionalFormatting sqref="F31:G31">
    <cfRule type="cellIs" dxfId="69" priority="10" operator="greaterThan">
      <formula>0.564</formula>
    </cfRule>
    <cfRule type="cellIs" dxfId="68" priority="11" operator="lessThan">
      <formula>"0.564"</formula>
    </cfRule>
  </conditionalFormatting>
  <conditionalFormatting sqref="D35:I35">
    <cfRule type="cellIs" dxfId="67" priority="6" operator="greaterThan">
      <formula>1000</formula>
    </cfRule>
    <cfRule type="cellIs" dxfId="66" priority="7" operator="lessThanOrEqual">
      <formula>1000</formula>
    </cfRule>
  </conditionalFormatting>
  <conditionalFormatting sqref="H18:I18">
    <cfRule type="cellIs" dxfId="65" priority="5" operator="greaterThan">
      <formula>159</formula>
    </cfRule>
  </conditionalFormatting>
  <conditionalFormatting sqref="H31:I31">
    <cfRule type="cellIs" dxfId="64" priority="4" operator="lessThan">
      <formula>50000</formula>
    </cfRule>
  </conditionalFormatting>
  <conditionalFormatting sqref="D31:I31">
    <cfRule type="cellIs" dxfId="63" priority="1" operator="greaterThan">
      <formula>1000</formula>
    </cfRule>
    <cfRule type="cellIs" dxfId="62" priority="2" operator="lessThanOrEqual">
      <formula>1000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ignoredErrors>
    <ignoredError sqref="H28" 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54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55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25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>
        <v>1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6.350000000000001" customHeight="1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>
        <v>0</v>
      </c>
      <c r="I18" s="99"/>
      <c r="K18" s="12"/>
      <c r="L18" s="4"/>
      <c r="M18" s="6"/>
      <c r="N18" s="6"/>
      <c r="O18" s="6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592</v>
      </c>
      <c r="E24" s="57"/>
      <c r="F24" s="60">
        <f>H24/D24</f>
        <v>0.41204054054054051</v>
      </c>
      <c r="G24" s="69"/>
      <c r="H24" s="60">
        <v>243.928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0.41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1.19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1.9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56">
        <f>+SUM(D24:E27)</f>
        <v>592</v>
      </c>
      <c r="E28" s="57"/>
      <c r="F28" s="58"/>
      <c r="G28" s="59"/>
      <c r="H28" s="60">
        <f>SUM(H24:I27)</f>
        <v>243.928</v>
      </c>
      <c r="I28" s="49"/>
    </row>
    <row r="29" spans="1:17" ht="16.2" thickBot="1" x14ac:dyDescent="0.45">
      <c r="A29" s="61" t="s">
        <v>39</v>
      </c>
      <c r="B29" s="62"/>
      <c r="C29" s="63"/>
      <c r="D29" s="105">
        <f>ROUNDUP(H18*F9,0)</f>
        <v>0</v>
      </c>
      <c r="E29" s="105"/>
      <c r="F29" s="64">
        <v>1.1200000000000001</v>
      </c>
      <c r="G29" s="64"/>
      <c r="H29" s="65">
        <f>D29*F29</f>
        <v>0</v>
      </c>
      <c r="I29" s="66"/>
    </row>
    <row r="30" spans="1:17" ht="16.2" thickBot="1" x14ac:dyDescent="0.45">
      <c r="A30" s="43" t="s">
        <v>12</v>
      </c>
      <c r="B30" s="44"/>
      <c r="C30" s="45"/>
      <c r="D30" s="37">
        <f>D28+D29</f>
        <v>592</v>
      </c>
      <c r="E30" s="145"/>
      <c r="F30" s="178">
        <f>H30/D30</f>
        <v>0.41204054054054051</v>
      </c>
      <c r="G30" s="179"/>
      <c r="H30" s="153">
        <f>H28+H29</f>
        <v>243.928</v>
      </c>
      <c r="I30" s="154"/>
    </row>
    <row r="31" spans="1:17" ht="15.6" x14ac:dyDescent="0.4">
      <c r="A31" s="15" t="s">
        <v>30</v>
      </c>
      <c r="B31" s="16"/>
      <c r="C31" s="19"/>
      <c r="D31" s="138">
        <f>ROUNDUP(C31*F9,0)</f>
        <v>0</v>
      </c>
      <c r="E31" s="139"/>
      <c r="F31" s="52"/>
      <c r="G31" s="53"/>
      <c r="H31" s="53"/>
      <c r="I31" s="54"/>
    </row>
    <row r="32" spans="1:17" ht="16.2" thickBot="1" x14ac:dyDescent="0.45">
      <c r="A32" s="140" t="s">
        <v>42</v>
      </c>
      <c r="B32" s="141"/>
      <c r="C32" s="142"/>
      <c r="D32" s="30">
        <f>D29-D31</f>
        <v>0</v>
      </c>
      <c r="E32" s="31"/>
      <c r="F32" s="32">
        <v>1.1200000000000001</v>
      </c>
      <c r="G32" s="33"/>
      <c r="H32" s="32">
        <f>D32*F32</f>
        <v>0</v>
      </c>
      <c r="I32" s="34"/>
      <c r="K32" s="14"/>
    </row>
    <row r="33" spans="1:9" ht="16.2" thickBot="1" x14ac:dyDescent="0.45">
      <c r="A33" s="35" t="s">
        <v>14</v>
      </c>
      <c r="B33" s="36"/>
      <c r="C33" s="36"/>
      <c r="D33" s="37">
        <f>IF(C31=0,D30,D28+D32)</f>
        <v>592</v>
      </c>
      <c r="E33" s="148"/>
      <c r="F33" s="149">
        <f>H33/D33</f>
        <v>0.41204054054054051</v>
      </c>
      <c r="G33" s="150"/>
      <c r="H33" s="180">
        <f>IF(C31=0,H30,H28+H32)</f>
        <v>243.928</v>
      </c>
      <c r="I33" s="18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m+F2oZSxkiZn1lAOVT7bdeCvfm4c/fdyZBHTnbQQQIxKlfvwloZMJyehOHniMFUEn8CTK7cv0J4Jc30qhBnyhg==" saltValue="QlSh7izgilIBJqjjrjpDeQ==" spinCount="100000" sheet="1" objects="1" scenarios="1"/>
  <protectedRanges>
    <protectedRange sqref="C9 F12:G16 H18 D25:E27 C31 F9" name="Range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61" priority="8" operator="greaterThan">
      <formula>900</formula>
    </cfRule>
    <cfRule type="cellIs" dxfId="60" priority="9" operator="lessThanOrEqual">
      <formula>900</formula>
    </cfRule>
  </conditionalFormatting>
  <conditionalFormatting sqref="D33:G33">
    <cfRule type="cellIs" dxfId="59" priority="6" operator="greaterThan">
      <formula>900</formula>
    </cfRule>
    <cfRule type="cellIs" dxfId="58" priority="7" operator="lessThanOrEqual">
      <formula>900</formula>
    </cfRule>
  </conditionalFormatting>
  <conditionalFormatting sqref="H18:I18">
    <cfRule type="cellIs" dxfId="57" priority="5" operator="greaterThan">
      <formula>109</formula>
    </cfRule>
  </conditionalFormatting>
  <conditionalFormatting sqref="D30:E30">
    <cfRule type="cellIs" dxfId="56" priority="3" operator="greaterThan">
      <formula>900</formula>
    </cfRule>
    <cfRule type="cellIs" dxfId="55" priority="4" operator="lessThanOrEqual">
      <formula>900</formula>
    </cfRule>
  </conditionalFormatting>
  <conditionalFormatting sqref="H33:I33">
    <cfRule type="cellIs" dxfId="54" priority="1" operator="greaterThan">
      <formula>900</formula>
    </cfRule>
    <cfRule type="cellIs" dxfId="53" priority="2" operator="lessThanOrEqual">
      <formula>900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58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59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25</v>
      </c>
      <c r="D9" s="17" t="s">
        <v>32</v>
      </c>
      <c r="E9" s="17" t="s">
        <v>48</v>
      </c>
      <c r="F9" s="26">
        <v>0.75</v>
      </c>
      <c r="G9" s="134" t="s">
        <v>49</v>
      </c>
      <c r="H9" s="134"/>
      <c r="I9" s="135"/>
      <c r="K9" s="12"/>
      <c r="L9" s="2"/>
      <c r="M9" s="2"/>
      <c r="N9" s="18">
        <v>1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27</v>
      </c>
      <c r="I10" s="106"/>
      <c r="K10" s="13"/>
      <c r="L10" s="3"/>
      <c r="M10" s="3"/>
      <c r="N10" s="3"/>
      <c r="O10" s="3"/>
      <c r="P10" s="3"/>
      <c r="Q10" s="2"/>
    </row>
    <row r="11" spans="1:17" ht="16.350000000000001" customHeight="1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6"/>
      <c r="N18" s="6"/>
      <c r="O18" s="6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590</v>
      </c>
      <c r="E24" s="57"/>
      <c r="F24" s="60">
        <f>H24/D24</f>
        <v>0.40085932203389829</v>
      </c>
      <c r="G24" s="69"/>
      <c r="H24" s="60">
        <v>236.50700000000001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0.41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1.19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1.9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56">
        <f>+SUM(D24:E27)</f>
        <v>590</v>
      </c>
      <c r="E28" s="57"/>
      <c r="F28" s="58"/>
      <c r="G28" s="59"/>
      <c r="H28" s="60">
        <f>SUM(H24:I27)</f>
        <v>236.50700000000001</v>
      </c>
      <c r="I28" s="49"/>
    </row>
    <row r="29" spans="1:17" ht="16.2" thickBot="1" x14ac:dyDescent="0.45">
      <c r="A29" s="61" t="s">
        <v>39</v>
      </c>
      <c r="B29" s="62"/>
      <c r="C29" s="63"/>
      <c r="D29" s="105">
        <f>ROUNDUP(H18*F9,0)</f>
        <v>0</v>
      </c>
      <c r="E29" s="105"/>
      <c r="F29" s="64">
        <v>1.1200000000000001</v>
      </c>
      <c r="G29" s="64"/>
      <c r="H29" s="65">
        <f>D29*F29</f>
        <v>0</v>
      </c>
      <c r="I29" s="66"/>
    </row>
    <row r="30" spans="1:17" ht="16.2" thickBot="1" x14ac:dyDescent="0.45">
      <c r="A30" s="43" t="s">
        <v>12</v>
      </c>
      <c r="B30" s="44"/>
      <c r="C30" s="45"/>
      <c r="D30" s="37">
        <f>D28+D29</f>
        <v>590</v>
      </c>
      <c r="E30" s="145"/>
      <c r="F30" s="178">
        <f>H30/D30</f>
        <v>0.40085932203389829</v>
      </c>
      <c r="G30" s="179"/>
      <c r="H30" s="153">
        <f>H28+H29</f>
        <v>236.50700000000001</v>
      </c>
      <c r="I30" s="154"/>
    </row>
    <row r="31" spans="1:17" ht="15.6" x14ac:dyDescent="0.4">
      <c r="A31" s="15" t="s">
        <v>30</v>
      </c>
      <c r="B31" s="16"/>
      <c r="C31" s="19"/>
      <c r="D31" s="138">
        <f>ROUNDUP(C31*F9,0)</f>
        <v>0</v>
      </c>
      <c r="E31" s="139"/>
      <c r="F31" s="52"/>
      <c r="G31" s="53"/>
      <c r="H31" s="53"/>
      <c r="I31" s="54"/>
    </row>
    <row r="32" spans="1:17" ht="16.2" thickBot="1" x14ac:dyDescent="0.45">
      <c r="A32" s="140" t="s">
        <v>42</v>
      </c>
      <c r="B32" s="141"/>
      <c r="C32" s="142"/>
      <c r="D32" s="30">
        <f>D29-D31</f>
        <v>0</v>
      </c>
      <c r="E32" s="31"/>
      <c r="F32" s="32">
        <v>1.1200000000000001</v>
      </c>
      <c r="G32" s="33"/>
      <c r="H32" s="32">
        <f>D32*F32</f>
        <v>0</v>
      </c>
      <c r="I32" s="34"/>
      <c r="K32" s="14"/>
    </row>
    <row r="33" spans="1:9" ht="16.2" thickBot="1" x14ac:dyDescent="0.45">
      <c r="A33" s="35" t="s">
        <v>14</v>
      </c>
      <c r="B33" s="36"/>
      <c r="C33" s="36"/>
      <c r="D33" s="37">
        <f>IF(C31=0,D30,D28+D32)</f>
        <v>590</v>
      </c>
      <c r="E33" s="148"/>
      <c r="F33" s="149">
        <f>H33/D33</f>
        <v>0.40085932203389829</v>
      </c>
      <c r="G33" s="150"/>
      <c r="H33" s="180">
        <f>IF(C31=0,H30,H28+H32)</f>
        <v>236.50700000000001</v>
      </c>
      <c r="I33" s="181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 ht="15.6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</sheetData>
  <protectedRanges>
    <protectedRange sqref="C9 F12:G16 H18 D25:E27 C31 F9" name="Range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52" priority="8" operator="greaterThan">
      <formula>900</formula>
    </cfRule>
    <cfRule type="cellIs" dxfId="51" priority="9" operator="lessThanOrEqual">
      <formula>900</formula>
    </cfRule>
  </conditionalFormatting>
  <conditionalFormatting sqref="D33:G33">
    <cfRule type="cellIs" dxfId="50" priority="6" operator="greaterThan">
      <formula>900</formula>
    </cfRule>
    <cfRule type="cellIs" dxfId="49" priority="7" operator="lessThanOrEqual">
      <formula>900</formula>
    </cfRule>
  </conditionalFormatting>
  <conditionalFormatting sqref="H18:I18">
    <cfRule type="cellIs" dxfId="48" priority="5" operator="greaterThan">
      <formula>109</formula>
    </cfRule>
  </conditionalFormatting>
  <conditionalFormatting sqref="D30:E30">
    <cfRule type="cellIs" dxfId="47" priority="3" operator="greaterThan">
      <formula>900</formula>
    </cfRule>
    <cfRule type="cellIs" dxfId="46" priority="4" operator="lessThanOrEqual">
      <formula>900</formula>
    </cfRule>
  </conditionalFormatting>
  <conditionalFormatting sqref="H33:I33">
    <cfRule type="cellIs" dxfId="45" priority="1" operator="greaterThan">
      <formula>900</formula>
    </cfRule>
    <cfRule type="cellIs" dxfId="44" priority="2" operator="lessThanOrEqual">
      <formula>900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tabColor rgb="FF33CC33"/>
  </sheetPr>
  <dimension ref="A1:Q54"/>
  <sheetViews>
    <sheetView zoomScaleNormal="100" workbookViewId="0">
      <selection activeCell="J20" sqref="J20"/>
    </sheetView>
  </sheetViews>
  <sheetFormatPr baseColWidth="10" defaultColWidth="9.109375" defaultRowHeight="14.4" x14ac:dyDescent="0.3"/>
  <cols>
    <col min="1" max="16384" width="9.109375" style="11"/>
  </cols>
  <sheetData>
    <row r="1" spans="1:17" x14ac:dyDescent="0.3">
      <c r="A1" s="107" t="s">
        <v>38</v>
      </c>
      <c r="B1" s="108"/>
      <c r="C1" s="108"/>
      <c r="D1" s="108"/>
      <c r="E1" s="108"/>
      <c r="F1" s="108"/>
      <c r="G1" s="108"/>
      <c r="H1" s="108"/>
      <c r="I1" s="109"/>
    </row>
    <row r="2" spans="1:17" ht="15" thickBot="1" x14ac:dyDescent="0.35">
      <c r="A2" s="110"/>
      <c r="B2" s="111"/>
      <c r="C2" s="111"/>
      <c r="D2" s="111"/>
      <c r="E2" s="111"/>
      <c r="F2" s="111"/>
      <c r="G2" s="111"/>
      <c r="H2" s="111"/>
      <c r="I2" s="112"/>
    </row>
    <row r="3" spans="1:17" ht="15.6" x14ac:dyDescent="0.4">
      <c r="A3" s="113"/>
      <c r="B3" s="114"/>
      <c r="C3" s="115"/>
      <c r="D3" s="121" t="s">
        <v>0</v>
      </c>
      <c r="E3" s="122"/>
      <c r="F3" s="122"/>
      <c r="G3" s="122" t="s">
        <v>21</v>
      </c>
      <c r="H3" s="122"/>
      <c r="I3" s="123"/>
    </row>
    <row r="4" spans="1:17" ht="15.6" x14ac:dyDescent="0.4">
      <c r="A4" s="116"/>
      <c r="B4" s="117"/>
      <c r="C4" s="118"/>
      <c r="D4" s="124" t="s">
        <v>31</v>
      </c>
      <c r="E4" s="125"/>
      <c r="F4" s="125"/>
      <c r="G4" s="126"/>
      <c r="H4" s="126"/>
      <c r="I4" s="127"/>
    </row>
    <row r="5" spans="1:17" ht="16.2" thickBot="1" x14ac:dyDescent="0.45">
      <c r="A5" s="119"/>
      <c r="B5" s="72"/>
      <c r="C5" s="120"/>
      <c r="D5" s="128" t="s">
        <v>50</v>
      </c>
      <c r="E5" s="129"/>
      <c r="F5" s="129"/>
      <c r="G5" s="130"/>
      <c r="H5" s="130"/>
      <c r="I5" s="131"/>
    </row>
    <row r="6" spans="1:17" ht="6.9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</row>
    <row r="7" spans="1:17" ht="15" customHeight="1" x14ac:dyDescent="0.3">
      <c r="A7" s="73" t="s">
        <v>1</v>
      </c>
      <c r="B7" s="74"/>
      <c r="C7" s="74"/>
      <c r="D7" s="74"/>
      <c r="E7" s="74"/>
      <c r="F7" s="74"/>
      <c r="G7" s="74"/>
      <c r="H7" s="74"/>
      <c r="I7" s="75"/>
    </row>
    <row r="8" spans="1:17" ht="15" customHeight="1" thickBot="1" x14ac:dyDescent="0.35">
      <c r="A8" s="76"/>
      <c r="B8" s="77"/>
      <c r="C8" s="77"/>
      <c r="D8" s="77"/>
      <c r="E8" s="77"/>
      <c r="F8" s="77"/>
      <c r="G8" s="77"/>
      <c r="H8" s="77"/>
      <c r="I8" s="78"/>
      <c r="K8" s="12"/>
      <c r="L8" s="2"/>
      <c r="M8" s="2"/>
      <c r="N8" s="2"/>
      <c r="O8" s="2"/>
      <c r="P8" s="2"/>
      <c r="Q8" s="2"/>
    </row>
    <row r="9" spans="1:17" ht="15" customHeight="1" x14ac:dyDescent="0.35">
      <c r="A9" s="132" t="s">
        <v>33</v>
      </c>
      <c r="B9" s="133"/>
      <c r="C9" s="26">
        <v>12</v>
      </c>
      <c r="D9" s="17" t="s">
        <v>45</v>
      </c>
      <c r="E9" s="17" t="s">
        <v>48</v>
      </c>
      <c r="F9" s="26">
        <v>0.72</v>
      </c>
      <c r="G9" s="134"/>
      <c r="H9" s="134"/>
      <c r="I9" s="135"/>
      <c r="K9" s="12"/>
      <c r="L9" s="2"/>
      <c r="M9" s="2"/>
      <c r="N9" s="18">
        <v>1</v>
      </c>
      <c r="O9" s="2"/>
      <c r="P9" s="2"/>
      <c r="Q9" s="2"/>
    </row>
    <row r="10" spans="1:17" ht="15.6" x14ac:dyDescent="0.4">
      <c r="A10" s="105" t="s">
        <v>17</v>
      </c>
      <c r="B10" s="105"/>
      <c r="C10" s="105"/>
      <c r="D10" s="105"/>
      <c r="E10" s="105"/>
      <c r="F10" s="105" t="s">
        <v>28</v>
      </c>
      <c r="G10" s="105"/>
      <c r="H10" s="105" t="s">
        <v>46</v>
      </c>
      <c r="I10" s="106"/>
      <c r="K10" s="13"/>
      <c r="L10" s="3"/>
      <c r="M10" s="3"/>
      <c r="N10" s="3"/>
      <c r="O10" s="3"/>
      <c r="P10" s="3"/>
      <c r="Q10" s="2"/>
    </row>
    <row r="11" spans="1:17" ht="15.6" x14ac:dyDescent="0.4">
      <c r="A11" s="100" t="s">
        <v>18</v>
      </c>
      <c r="B11" s="101"/>
      <c r="C11" s="101"/>
      <c r="D11" s="101"/>
      <c r="E11" s="57"/>
      <c r="F11" s="103"/>
      <c r="G11" s="104"/>
      <c r="H11" s="56">
        <v>5</v>
      </c>
      <c r="I11" s="102"/>
      <c r="K11" s="13"/>
      <c r="L11" s="4"/>
      <c r="M11" s="5"/>
      <c r="N11" s="5"/>
      <c r="O11" s="5"/>
      <c r="P11" s="5"/>
      <c r="Q11" s="2"/>
    </row>
    <row r="12" spans="1:17" ht="15.6" x14ac:dyDescent="0.4">
      <c r="A12" s="100" t="s">
        <v>22</v>
      </c>
      <c r="B12" s="101"/>
      <c r="C12" s="101"/>
      <c r="D12" s="101"/>
      <c r="E12" s="57"/>
      <c r="F12" s="67"/>
      <c r="G12" s="68"/>
      <c r="H12" s="56">
        <f>ROUNDUP(F12*(C9/60),0)</f>
        <v>0</v>
      </c>
      <c r="I12" s="102"/>
      <c r="K12" s="2"/>
      <c r="L12" s="4"/>
      <c r="M12" s="6"/>
      <c r="N12" s="6"/>
      <c r="O12" s="6"/>
      <c r="P12" s="6"/>
      <c r="Q12" s="2"/>
    </row>
    <row r="13" spans="1:17" ht="15.6" x14ac:dyDescent="0.4">
      <c r="A13" s="100" t="s">
        <v>23</v>
      </c>
      <c r="B13" s="101"/>
      <c r="C13" s="101"/>
      <c r="D13" s="101"/>
      <c r="E13" s="57"/>
      <c r="F13" s="67"/>
      <c r="G13" s="68"/>
      <c r="H13" s="56">
        <f>ROUNDUP(F13*(C9/60),0)</f>
        <v>0</v>
      </c>
      <c r="I13" s="102"/>
      <c r="K13" s="2"/>
      <c r="L13" s="4"/>
      <c r="M13" s="6"/>
      <c r="N13" s="6"/>
      <c r="O13" s="6"/>
      <c r="P13" s="6"/>
      <c r="Q13" s="2"/>
    </row>
    <row r="14" spans="1:17" ht="15.6" x14ac:dyDescent="0.4">
      <c r="A14" s="100" t="s">
        <v>24</v>
      </c>
      <c r="B14" s="101"/>
      <c r="C14" s="101"/>
      <c r="D14" s="101"/>
      <c r="E14" s="57"/>
      <c r="F14" s="67"/>
      <c r="G14" s="68"/>
      <c r="H14" s="56">
        <f>ROUNDUP(F14*(C9/60),0)</f>
        <v>0</v>
      </c>
      <c r="I14" s="102"/>
      <c r="K14" s="2"/>
      <c r="L14" s="4"/>
      <c r="M14" s="7"/>
      <c r="N14" s="7"/>
      <c r="O14" s="7"/>
      <c r="P14" s="7"/>
      <c r="Q14" s="2"/>
    </row>
    <row r="15" spans="1:17" ht="15.6" x14ac:dyDescent="0.4">
      <c r="A15" s="100" t="s">
        <v>19</v>
      </c>
      <c r="B15" s="101"/>
      <c r="C15" s="101"/>
      <c r="D15" s="101"/>
      <c r="E15" s="57"/>
      <c r="F15" s="67"/>
      <c r="G15" s="68"/>
      <c r="H15" s="56">
        <f>ROUNDUP(F15*(C9/60),0)</f>
        <v>0</v>
      </c>
      <c r="I15" s="102"/>
      <c r="K15" s="2"/>
      <c r="L15" s="4"/>
      <c r="M15" s="7"/>
      <c r="N15" s="7"/>
      <c r="O15" s="7"/>
      <c r="P15" s="7"/>
      <c r="Q15" s="2"/>
    </row>
    <row r="16" spans="1:17" ht="15.6" x14ac:dyDescent="0.4">
      <c r="A16" s="100" t="s">
        <v>20</v>
      </c>
      <c r="B16" s="101"/>
      <c r="C16" s="101"/>
      <c r="D16" s="101"/>
      <c r="E16" s="57"/>
      <c r="F16" s="67"/>
      <c r="G16" s="68"/>
      <c r="H16" s="56">
        <f>ROUNDUP(F16*(C9/60),0)</f>
        <v>0</v>
      </c>
      <c r="I16" s="102"/>
      <c r="K16" s="2"/>
      <c r="L16" s="4"/>
      <c r="M16" s="6"/>
      <c r="N16" s="6"/>
      <c r="O16" s="6"/>
      <c r="P16" s="6"/>
      <c r="Q16" s="2"/>
    </row>
    <row r="17" spans="1:17" ht="16.2" thickBot="1" x14ac:dyDescent="0.45">
      <c r="A17" s="89" t="s">
        <v>25</v>
      </c>
      <c r="B17" s="90"/>
      <c r="C17" s="90"/>
      <c r="D17" s="90"/>
      <c r="E17" s="91"/>
      <c r="F17" s="92">
        <f>SUM(F12:G16)</f>
        <v>0</v>
      </c>
      <c r="G17" s="91"/>
      <c r="H17" s="92">
        <f>SUM(H11:I16)</f>
        <v>5</v>
      </c>
      <c r="I17" s="93"/>
      <c r="K17" s="2"/>
      <c r="L17" s="4"/>
      <c r="M17" s="6"/>
      <c r="N17" s="6"/>
      <c r="O17" s="6"/>
      <c r="P17" s="6"/>
      <c r="Q17" s="2"/>
    </row>
    <row r="18" spans="1:17" ht="16.2" thickBot="1" x14ac:dyDescent="0.45">
      <c r="A18" s="94" t="s">
        <v>26</v>
      </c>
      <c r="B18" s="95"/>
      <c r="C18" s="95"/>
      <c r="D18" s="95"/>
      <c r="E18" s="96"/>
      <c r="F18" s="97">
        <f>ROUNDDOWN(H18/(C9/60),0)</f>
        <v>0</v>
      </c>
      <c r="G18" s="96"/>
      <c r="H18" s="98"/>
      <c r="I18" s="99"/>
      <c r="K18" s="12"/>
      <c r="L18" s="4"/>
      <c r="M18" s="6"/>
      <c r="N18" s="6"/>
      <c r="O18" s="6"/>
      <c r="P18" s="6"/>
      <c r="Q18" s="2"/>
    </row>
    <row r="19" spans="1:17" ht="6.9" customHeight="1" thickBot="1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17" ht="15.75" customHeight="1" x14ac:dyDescent="0.3">
      <c r="A20" s="73" t="s">
        <v>2</v>
      </c>
      <c r="B20" s="74"/>
      <c r="C20" s="74"/>
      <c r="D20" s="74"/>
      <c r="E20" s="74"/>
      <c r="F20" s="74"/>
      <c r="G20" s="74"/>
      <c r="H20" s="74"/>
      <c r="I20" s="75"/>
      <c r="K20" s="2"/>
      <c r="L20" s="8"/>
      <c r="M20" s="9"/>
      <c r="N20" s="9"/>
      <c r="O20" s="9"/>
      <c r="P20" s="9"/>
      <c r="Q20" s="2"/>
    </row>
    <row r="21" spans="1:17" ht="15.75" customHeight="1" thickBot="1" x14ac:dyDescent="0.35">
      <c r="A21" s="76"/>
      <c r="B21" s="77"/>
      <c r="C21" s="77"/>
      <c r="D21" s="77"/>
      <c r="E21" s="77"/>
      <c r="F21" s="77"/>
      <c r="G21" s="77"/>
      <c r="H21" s="77"/>
      <c r="I21" s="78"/>
      <c r="K21" s="2"/>
      <c r="L21" s="2"/>
      <c r="M21" s="2"/>
      <c r="N21" s="2"/>
      <c r="O21" s="2"/>
      <c r="P21" s="2"/>
      <c r="Q21" s="2"/>
    </row>
    <row r="22" spans="1:17" ht="15.6" x14ac:dyDescent="0.4">
      <c r="A22" s="79"/>
      <c r="B22" s="80"/>
      <c r="C22" s="80"/>
      <c r="D22" s="81" t="s">
        <v>6</v>
      </c>
      <c r="E22" s="82"/>
      <c r="F22" s="83" t="s">
        <v>7</v>
      </c>
      <c r="G22" s="82"/>
      <c r="H22" s="83" t="s">
        <v>8</v>
      </c>
      <c r="I22" s="84"/>
      <c r="K22" s="2"/>
      <c r="L22" s="2"/>
      <c r="M22" s="2"/>
      <c r="N22" s="2"/>
      <c r="O22" s="2"/>
      <c r="P22" s="2"/>
      <c r="Q22" s="2"/>
    </row>
    <row r="23" spans="1:17" ht="12.75" customHeight="1" x14ac:dyDescent="0.3">
      <c r="A23" s="79"/>
      <c r="B23" s="80"/>
      <c r="C23" s="80"/>
      <c r="D23" s="85" t="s">
        <v>10</v>
      </c>
      <c r="E23" s="86"/>
      <c r="F23" s="87" t="s">
        <v>9</v>
      </c>
      <c r="G23" s="86"/>
      <c r="H23" s="87" t="s">
        <v>47</v>
      </c>
      <c r="I23" s="88"/>
    </row>
    <row r="24" spans="1:17" ht="15.6" x14ac:dyDescent="0.4">
      <c r="A24" s="61" t="s">
        <v>3</v>
      </c>
      <c r="B24" s="62"/>
      <c r="C24" s="63"/>
      <c r="D24" s="56">
        <v>989</v>
      </c>
      <c r="E24" s="57"/>
      <c r="F24" s="60">
        <f>H24/D24</f>
        <v>3.6036400404448936</v>
      </c>
      <c r="G24" s="69"/>
      <c r="H24" s="60">
        <v>3564</v>
      </c>
      <c r="I24" s="49"/>
    </row>
    <row r="25" spans="1:17" ht="15.6" x14ac:dyDescent="0.4">
      <c r="A25" s="61" t="s">
        <v>4</v>
      </c>
      <c r="B25" s="62"/>
      <c r="C25" s="63"/>
      <c r="D25" s="67"/>
      <c r="E25" s="68"/>
      <c r="F25" s="56">
        <v>3.65</v>
      </c>
      <c r="G25" s="57"/>
      <c r="H25" s="70">
        <f t="shared" ref="H25:H27" si="0">D25*F25</f>
        <v>0</v>
      </c>
      <c r="I25" s="71"/>
    </row>
    <row r="26" spans="1:17" ht="15.6" x14ac:dyDescent="0.4">
      <c r="A26" s="61" t="s">
        <v>5</v>
      </c>
      <c r="B26" s="62"/>
      <c r="C26" s="63"/>
      <c r="D26" s="67"/>
      <c r="E26" s="68"/>
      <c r="F26" s="56">
        <v>4.57</v>
      </c>
      <c r="G26" s="57"/>
      <c r="H26" s="70">
        <f t="shared" si="0"/>
        <v>0</v>
      </c>
      <c r="I26" s="71"/>
    </row>
    <row r="27" spans="1:17" ht="15.6" x14ac:dyDescent="0.4">
      <c r="A27" s="61" t="s">
        <v>11</v>
      </c>
      <c r="B27" s="62"/>
      <c r="C27" s="63"/>
      <c r="D27" s="67"/>
      <c r="E27" s="68"/>
      <c r="F27" s="60">
        <v>5.24</v>
      </c>
      <c r="G27" s="69"/>
      <c r="H27" s="70">
        <f t="shared" si="0"/>
        <v>0</v>
      </c>
      <c r="I27" s="71"/>
    </row>
    <row r="28" spans="1:17" ht="15.6" x14ac:dyDescent="0.4">
      <c r="A28" s="43" t="s">
        <v>13</v>
      </c>
      <c r="B28" s="44"/>
      <c r="C28" s="55"/>
      <c r="D28" s="56">
        <f>+SUM(D24:E27)</f>
        <v>989</v>
      </c>
      <c r="E28" s="57"/>
      <c r="F28" s="58"/>
      <c r="G28" s="59"/>
      <c r="H28" s="60">
        <f>SUM(H24:I27)</f>
        <v>3564</v>
      </c>
      <c r="I28" s="49"/>
    </row>
    <row r="29" spans="1:17" ht="16.2" thickBot="1" x14ac:dyDescent="0.45">
      <c r="A29" s="61" t="s">
        <v>39</v>
      </c>
      <c r="B29" s="62"/>
      <c r="C29" s="63"/>
      <c r="D29" s="105">
        <f>ROUNDUP(H18*3.785*0.72,0)</f>
        <v>0</v>
      </c>
      <c r="E29" s="105"/>
      <c r="F29" s="105">
        <v>3.91</v>
      </c>
      <c r="G29" s="105"/>
      <c r="H29" s="101">
        <f>D29*F29</f>
        <v>0</v>
      </c>
      <c r="I29" s="102"/>
    </row>
    <row r="30" spans="1:17" ht="16.2" thickBot="1" x14ac:dyDescent="0.45">
      <c r="A30" s="43" t="s">
        <v>12</v>
      </c>
      <c r="B30" s="44"/>
      <c r="C30" s="45"/>
      <c r="D30" s="37">
        <f>D28+D29</f>
        <v>989</v>
      </c>
      <c r="E30" s="148"/>
      <c r="F30" s="149">
        <f>H30/D30</f>
        <v>3.6036400404448936</v>
      </c>
      <c r="G30" s="150"/>
      <c r="H30" s="153">
        <f>H28+H29</f>
        <v>3564</v>
      </c>
      <c r="I30" s="154"/>
    </row>
    <row r="31" spans="1:17" ht="15.6" x14ac:dyDescent="0.4">
      <c r="A31" s="15" t="s">
        <v>30</v>
      </c>
      <c r="B31" s="16"/>
      <c r="C31" s="19"/>
      <c r="D31" s="138">
        <f>ROUNDUP(C31*(IF(N9=1,0.72,0.75)),0)</f>
        <v>0</v>
      </c>
      <c r="E31" s="139"/>
      <c r="F31" s="155"/>
      <c r="G31" s="156"/>
      <c r="H31" s="156"/>
      <c r="I31" s="157"/>
    </row>
    <row r="32" spans="1:17" ht="16.2" thickBot="1" x14ac:dyDescent="0.45">
      <c r="A32" s="140" t="s">
        <v>42</v>
      </c>
      <c r="B32" s="141"/>
      <c r="C32" s="142"/>
      <c r="D32" s="30">
        <f>D29-D31</f>
        <v>0</v>
      </c>
      <c r="E32" s="31"/>
      <c r="F32" s="32">
        <v>3.91</v>
      </c>
      <c r="G32" s="33"/>
      <c r="H32" s="146">
        <f>D32*F32</f>
        <v>0</v>
      </c>
      <c r="I32" s="147"/>
      <c r="K32" s="14"/>
    </row>
    <row r="33" spans="1:9" ht="16.2" thickBot="1" x14ac:dyDescent="0.45">
      <c r="A33" s="35" t="s">
        <v>14</v>
      </c>
      <c r="B33" s="36"/>
      <c r="C33" s="36"/>
      <c r="D33" s="37">
        <f>IF(C31=0,D30,D28+D32)</f>
        <v>989</v>
      </c>
      <c r="E33" s="148"/>
      <c r="F33" s="149">
        <f>H33/D33</f>
        <v>3.6036400404448936</v>
      </c>
      <c r="G33" s="150"/>
      <c r="H33" s="153">
        <f>IF(C31=0,H30,H28+H32)</f>
        <v>3564</v>
      </c>
      <c r="I33" s="154"/>
    </row>
    <row r="34" spans="1:9" ht="15.6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4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 ht="15.6" x14ac:dyDescent="0.4">
      <c r="A39" s="1"/>
      <c r="B39" s="1"/>
      <c r="C39" s="1"/>
      <c r="D39" s="1"/>
      <c r="E39" s="1">
        <v>3.5</v>
      </c>
      <c r="F39" s="1">
        <v>952</v>
      </c>
      <c r="G39" s="1"/>
      <c r="H39" s="1"/>
      <c r="I39" s="1"/>
    </row>
    <row r="40" spans="1:9" ht="15.6" x14ac:dyDescent="0.4">
      <c r="A40" s="1"/>
      <c r="B40" s="1"/>
      <c r="C40" s="1"/>
      <c r="D40" s="1"/>
      <c r="E40" s="1">
        <v>3.5329999999999999</v>
      </c>
      <c r="F40" s="1">
        <v>1224</v>
      </c>
      <c r="G40" s="1"/>
      <c r="H40" s="1"/>
      <c r="I40" s="1"/>
    </row>
    <row r="41" spans="1:9" ht="15.6" x14ac:dyDescent="0.4">
      <c r="A41" s="1"/>
      <c r="B41" s="1"/>
      <c r="C41" s="1"/>
      <c r="D41" s="1"/>
      <c r="E41" s="1">
        <v>3.5920000000000001</v>
      </c>
      <c r="F41" s="1">
        <v>1383</v>
      </c>
      <c r="G41" s="1"/>
      <c r="H41" s="1"/>
      <c r="I41" s="1"/>
    </row>
    <row r="42" spans="1:9" ht="15.6" x14ac:dyDescent="0.4">
      <c r="A42" s="1"/>
      <c r="B42" s="1"/>
      <c r="C42" s="1"/>
      <c r="D42" s="1"/>
      <c r="E42" s="1">
        <v>3.762</v>
      </c>
      <c r="F42" s="1">
        <v>1383</v>
      </c>
      <c r="G42" s="1"/>
      <c r="H42" s="1"/>
      <c r="I42" s="1"/>
    </row>
    <row r="43" spans="1:9" ht="15.6" x14ac:dyDescent="0.4">
      <c r="A43" s="1"/>
      <c r="B43" s="1"/>
      <c r="C43" s="1"/>
      <c r="D43" s="1"/>
      <c r="E43" s="1">
        <v>3.762</v>
      </c>
      <c r="F43" s="1">
        <v>952</v>
      </c>
      <c r="G43" s="1"/>
      <c r="H43" s="1"/>
      <c r="I43" s="1"/>
    </row>
    <row r="44" spans="1:9" ht="15.6" x14ac:dyDescent="0.4">
      <c r="A44" s="1"/>
      <c r="B44" s="1"/>
      <c r="C44" s="1"/>
      <c r="D44" s="1"/>
      <c r="E44" s="1">
        <v>3.5</v>
      </c>
      <c r="F44" s="1">
        <v>952</v>
      </c>
      <c r="G44" s="1"/>
      <c r="H44" s="1"/>
      <c r="I44" s="1"/>
    </row>
    <row r="45" spans="1:9" ht="15.6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4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Lzu5nWXXn3EJsAF4Te9b4IARF4r2gyNIzWjxK0uKczXwap4RJHNqnxsV7wHMPkWomNScAbCb1td9gaUadcQ+yg==" saltValue="RGRi7WLDcvnSSdspdj7jUA==" spinCount="100000" sheet="1" objects="1" scenarios="1"/>
  <protectedRanges>
    <protectedRange sqref="C9 F12:G16 H18 D25:E27 C31 F9" name="Range1"/>
  </protectedRanges>
  <mergeCells count="86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0:C30"/>
    <mergeCell ref="D30:E30"/>
    <mergeCell ref="F30:G30"/>
    <mergeCell ref="H30:I30"/>
    <mergeCell ref="D31:E31"/>
    <mergeCell ref="F31:I31"/>
    <mergeCell ref="A32:C32"/>
    <mergeCell ref="D32:E32"/>
    <mergeCell ref="F32:G32"/>
    <mergeCell ref="H32:I32"/>
    <mergeCell ref="A33:C33"/>
    <mergeCell ref="D33:E33"/>
    <mergeCell ref="F33:G33"/>
    <mergeCell ref="H33:I33"/>
  </mergeCells>
  <conditionalFormatting sqref="D30:E30">
    <cfRule type="cellIs" dxfId="43" priority="12" operator="greaterThan">
      <formula>1383</formula>
    </cfRule>
    <cfRule type="cellIs" dxfId="42" priority="13" operator="lessThanOrEqual">
      <formula>1383</formula>
    </cfRule>
  </conditionalFormatting>
  <conditionalFormatting sqref="F30:G30">
    <cfRule type="cellIs" dxfId="41" priority="10" operator="greaterThan">
      <formula>3.762</formula>
    </cfRule>
    <cfRule type="cellIs" dxfId="40" priority="11" operator="lessThan">
      <formula>"3.762"</formula>
    </cfRule>
  </conditionalFormatting>
  <conditionalFormatting sqref="D33:G33">
    <cfRule type="cellIs" dxfId="39" priority="8" operator="greaterThan">
      <formula>"0.762"</formula>
    </cfRule>
    <cfRule type="cellIs" dxfId="38" priority="9" operator="lessThanOrEqual">
      <formula>"0.762"</formula>
    </cfRule>
  </conditionalFormatting>
  <conditionalFormatting sqref="H18:I18">
    <cfRule type="cellIs" dxfId="37" priority="7" operator="greaterThan">
      <formula>56</formula>
    </cfRule>
  </conditionalFormatting>
  <conditionalFormatting sqref="D30:E30">
    <cfRule type="cellIs" dxfId="36" priority="5" operator="greaterThan">
      <formula>"0.762"</formula>
    </cfRule>
    <cfRule type="cellIs" dxfId="35" priority="6" operator="lessThanOrEqual">
      <formula>"0.762"</formula>
    </cfRule>
  </conditionalFormatting>
  <conditionalFormatting sqref="F30:G30">
    <cfRule type="cellIs" dxfId="34" priority="3" operator="greaterThan">
      <formula>1383</formula>
    </cfRule>
    <cfRule type="cellIs" dxfId="33" priority="4" operator="lessThanOrEqual">
      <formula>1383</formula>
    </cfRule>
  </conditionalFormatting>
  <conditionalFormatting sqref="F30:G30">
    <cfRule type="cellIs" dxfId="32" priority="1" operator="greaterThan">
      <formula>"0.762"</formula>
    </cfRule>
    <cfRule type="cellIs" dxfId="31" priority="2" operator="lessThanOrEqual">
      <formula>"0.762"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F-HAAB</vt:lpstr>
      <vt:lpstr>F-GVFP</vt:lpstr>
      <vt:lpstr>F-GZPL</vt:lpstr>
      <vt:lpstr>F-GZAL</vt:lpstr>
      <vt:lpstr>F-GLDO</vt:lpstr>
      <vt:lpstr>F-GXPP</vt:lpstr>
      <vt:lpstr>F-HJAY</vt:lpstr>
      <vt:lpstr>F-HEBC</vt:lpstr>
      <vt:lpstr>F-HCGA</vt:lpstr>
      <vt:lpstr>F-HFIA</vt:lpstr>
      <vt:lpstr>31-YS</vt:lpstr>
      <vt:lpstr>31-AAE</vt:lpstr>
      <vt:lpstr>'F-GLDO'!Zone_d_impression</vt:lpstr>
      <vt:lpstr>'F-GZAL'!Zone_d_impression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soutou</cp:lastModifiedBy>
  <cp:lastPrinted>2019-12-09T14:49:27Z</cp:lastPrinted>
  <dcterms:created xsi:type="dcterms:W3CDTF">2018-03-08T19:21:08Z</dcterms:created>
  <dcterms:modified xsi:type="dcterms:W3CDTF">2024-04-30T15:20:35Z</dcterms:modified>
</cp:coreProperties>
</file>